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" windowWidth="19035" windowHeight="12015" activeTab="1"/>
  </bookViews>
  <sheets>
    <sheet name="porseleinhallen" sheetId="5" r:id="rId1"/>
    <sheet name="cerf, stekke &amp; guldenberg" sheetId="7" r:id="rId2"/>
    <sheet name="vergaderzalen" sheetId="2" r:id="rId3"/>
    <sheet name="cafetaria's" sheetId="4" r:id="rId4"/>
  </sheets>
  <definedNames>
    <definedName name="d">vergaderzalen!$F$29</definedName>
    <definedName name="laat" localSheetId="3">'cafetaria''s'!$E$18</definedName>
    <definedName name="laat" localSheetId="1">vergaderzalen!#REF!</definedName>
    <definedName name="laat" localSheetId="0">vergaderzalen!#REF!</definedName>
    <definedName name="laat">vergaderzalen!#REF!</definedName>
    <definedName name="laat2" localSheetId="1">#REF!</definedName>
    <definedName name="laat2">#REF!</definedName>
    <definedName name="vroeg" localSheetId="3">'cafetaria''s'!$E$17</definedName>
    <definedName name="vroeg" localSheetId="1">vergaderzalen!#REF!</definedName>
    <definedName name="vroeg" localSheetId="0">vergaderzalen!#REF!</definedName>
    <definedName name="vroeg">vergaderzalen!#REF!</definedName>
    <definedName name="vroeg2" localSheetId="1">#REF!</definedName>
    <definedName name="vroeg2">#REF!</definedName>
  </definedNames>
  <calcPr calcId="145621"/>
</workbook>
</file>

<file path=xl/calcChain.xml><?xml version="1.0" encoding="utf-8"?>
<calcChain xmlns="http://schemas.openxmlformats.org/spreadsheetml/2006/main">
  <c r="E4" i="2" l="1"/>
  <c r="E1" i="2"/>
  <c r="F15" i="7" l="1"/>
  <c r="F14" i="7"/>
  <c r="F13" i="7"/>
  <c r="F12" i="7"/>
  <c r="F11" i="7"/>
  <c r="F10" i="7"/>
  <c r="F9" i="7"/>
  <c r="F8" i="7"/>
  <c r="F7" i="7"/>
  <c r="F15" i="5"/>
  <c r="F14" i="5"/>
  <c r="F13" i="5"/>
  <c r="F12" i="5"/>
  <c r="F11" i="5"/>
  <c r="F10" i="5"/>
  <c r="F9" i="5"/>
  <c r="F8" i="5"/>
  <c r="F7" i="5"/>
  <c r="E16" i="7" l="1"/>
  <c r="E16" i="5"/>
  <c r="R2" i="5"/>
  <c r="L18" i="7" l="1"/>
  <c r="L17" i="7"/>
  <c r="L16" i="7"/>
  <c r="L15" i="7"/>
  <c r="L36" i="7" s="1"/>
  <c r="O35" i="7"/>
  <c r="O30" i="7"/>
  <c r="D7" i="7"/>
  <c r="D8" i="7"/>
  <c r="O26" i="7"/>
  <c r="N26" i="7"/>
  <c r="Q25" i="7"/>
  <c r="P25" i="7"/>
  <c r="N25" i="7"/>
  <c r="M25" i="7"/>
  <c r="J25" i="7"/>
  <c r="J26" i="7"/>
  <c r="M13" i="7" l="1"/>
  <c r="M12" i="7"/>
  <c r="M11" i="7"/>
  <c r="L13" i="7"/>
  <c r="L12" i="7"/>
  <c r="L11" i="7"/>
  <c r="L10" i="7"/>
  <c r="M10" i="7"/>
  <c r="AG6" i="7"/>
  <c r="AG5" i="7"/>
  <c r="K3" i="7"/>
  <c r="L6" i="7"/>
  <c r="K5" i="7" s="1"/>
  <c r="T9" i="7"/>
  <c r="AX30" i="7"/>
  <c r="AY28" i="7"/>
  <c r="AX29" i="7" s="1"/>
  <c r="AX28" i="7"/>
  <c r="E28" i="7"/>
  <c r="AX27" i="7"/>
  <c r="E27" i="7"/>
  <c r="AX26" i="7"/>
  <c r="E26" i="7"/>
  <c r="AX25" i="7"/>
  <c r="E25" i="7"/>
  <c r="AX24" i="7"/>
  <c r="E24" i="7"/>
  <c r="AX23" i="7"/>
  <c r="E23" i="7"/>
  <c r="AX22" i="7"/>
  <c r="E22" i="7"/>
  <c r="AX21" i="7"/>
  <c r="E21" i="7"/>
  <c r="AX20" i="7"/>
  <c r="E20" i="7"/>
  <c r="AX19" i="7"/>
  <c r="E19" i="7"/>
  <c r="B19" i="7"/>
  <c r="AX18" i="7"/>
  <c r="AX17" i="7"/>
  <c r="AX16" i="7"/>
  <c r="AX15" i="7"/>
  <c r="AX14" i="7"/>
  <c r="AX13" i="7"/>
  <c r="AX12" i="7"/>
  <c r="AX11" i="7"/>
  <c r="AX10" i="7"/>
  <c r="AX9" i="7"/>
  <c r="AX8" i="7"/>
  <c r="B8" i="7"/>
  <c r="B20" i="7" s="1"/>
  <c r="AX7" i="7"/>
  <c r="T2" i="7"/>
  <c r="AW30" i="5"/>
  <c r="AX28" i="5"/>
  <c r="AW29" i="5" s="1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B36" i="5" s="1"/>
  <c r="B8" i="5"/>
  <c r="B9" i="5" s="1"/>
  <c r="B10" i="5" s="1"/>
  <c r="B11" i="5" s="1"/>
  <c r="B12" i="5" s="1"/>
  <c r="B13" i="5" s="1"/>
  <c r="B14" i="5" s="1"/>
  <c r="N18" i="5"/>
  <c r="T2" i="5"/>
  <c r="U2" i="5"/>
  <c r="E6" i="5"/>
  <c r="O1" i="5"/>
  <c r="N1" i="5"/>
  <c r="R1" i="5"/>
  <c r="AF8" i="5"/>
  <c r="AF7" i="5"/>
  <c r="E26" i="5"/>
  <c r="E27" i="5"/>
  <c r="B19" i="5"/>
  <c r="M18" i="5"/>
  <c r="R7" i="5"/>
  <c r="R8" i="5"/>
  <c r="R9" i="5"/>
  <c r="M9" i="5"/>
  <c r="M8" i="5"/>
  <c r="M7" i="5"/>
  <c r="N9" i="5"/>
  <c r="N8" i="5"/>
  <c r="N7" i="5"/>
  <c r="Y9" i="5"/>
  <c r="Y8" i="5"/>
  <c r="Y7" i="5"/>
  <c r="T1" i="5"/>
  <c r="D14" i="5" s="1"/>
  <c r="F19" i="7" l="1"/>
  <c r="G19" i="7" s="1"/>
  <c r="F20" i="7"/>
  <c r="G20" i="7" s="1"/>
  <c r="O15" i="7"/>
  <c r="O17" i="7"/>
  <c r="O25" i="7" s="1"/>
  <c r="D5" i="7" s="1"/>
  <c r="O16" i="7"/>
  <c r="K18" i="7"/>
  <c r="K16" i="7"/>
  <c r="K19" i="7"/>
  <c r="K21" i="7"/>
  <c r="K22" i="7"/>
  <c r="K17" i="7"/>
  <c r="K15" i="7"/>
  <c r="K20" i="7"/>
  <c r="K23" i="7"/>
  <c r="K13" i="7"/>
  <c r="B36" i="7"/>
  <c r="F19" i="5"/>
  <c r="K36" i="7"/>
  <c r="L25" i="7" s="1"/>
  <c r="L31" i="7"/>
  <c r="K31" i="7" s="1"/>
  <c r="L26" i="7" s="1"/>
  <c r="O1" i="7"/>
  <c r="O2" i="7" s="1"/>
  <c r="R1" i="7"/>
  <c r="M26" i="7"/>
  <c r="K11" i="7"/>
  <c r="D15" i="7"/>
  <c r="K10" i="7"/>
  <c r="K12" i="7"/>
  <c r="E6" i="7"/>
  <c r="U2" i="7"/>
  <c r="V2" i="7" s="1"/>
  <c r="W2" i="7" s="1"/>
  <c r="D10" i="7"/>
  <c r="D14" i="7"/>
  <c r="D12" i="7"/>
  <c r="B9" i="7"/>
  <c r="D9" i="7"/>
  <c r="D11" i="7"/>
  <c r="D13" i="7"/>
  <c r="N17" i="5"/>
  <c r="D5" i="5" s="1"/>
  <c r="S1" i="5"/>
  <c r="S2" i="5" s="1"/>
  <c r="O17" i="5" s="1"/>
  <c r="M17" i="5"/>
  <c r="V2" i="5"/>
  <c r="W2" i="5" s="1"/>
  <c r="D9" i="5"/>
  <c r="D11" i="5"/>
  <c r="D13" i="5"/>
  <c r="D15" i="5"/>
  <c r="D8" i="5"/>
  <c r="D10" i="5"/>
  <c r="D12" i="5"/>
  <c r="B26" i="5"/>
  <c r="F26" i="5" s="1"/>
  <c r="G26" i="5" s="1"/>
  <c r="B15" i="5"/>
  <c r="B27" i="5" s="1"/>
  <c r="F27" i="5" s="1"/>
  <c r="G27" i="5" s="1"/>
  <c r="B23" i="5"/>
  <c r="F23" i="5" s="1"/>
  <c r="B22" i="5"/>
  <c r="F22" i="5" s="1"/>
  <c r="B21" i="5"/>
  <c r="F21" i="5" s="1"/>
  <c r="D7" i="5"/>
  <c r="L35" i="7" l="1"/>
  <c r="B33" i="7"/>
  <c r="L30" i="7"/>
  <c r="S1" i="7"/>
  <c r="S2" i="7" s="1"/>
  <c r="D16" i="7"/>
  <c r="M35" i="7" s="1"/>
  <c r="N35" i="7" s="1"/>
  <c r="K35" i="7" s="1"/>
  <c r="B21" i="7"/>
  <c r="B10" i="7"/>
  <c r="K14" i="5"/>
  <c r="K12" i="5"/>
  <c r="K13" i="5"/>
  <c r="L14" i="5"/>
  <c r="L12" i="5"/>
  <c r="L13" i="5"/>
  <c r="L7" i="5"/>
  <c r="L9" i="5"/>
  <c r="L8" i="5"/>
  <c r="K7" i="5"/>
  <c r="K8" i="5"/>
  <c r="K9" i="5"/>
  <c r="B24" i="5"/>
  <c r="F24" i="5" s="1"/>
  <c r="F21" i="7" l="1"/>
  <c r="G21" i="7" s="1"/>
  <c r="L17" i="5"/>
  <c r="K19" i="5" s="1"/>
  <c r="B31" i="5" s="1"/>
  <c r="B38" i="5" s="1"/>
  <c r="B34" i="7"/>
  <c r="M30" i="7"/>
  <c r="N30" i="7" s="1"/>
  <c r="B11" i="7"/>
  <c r="B22" i="7"/>
  <c r="K18" i="5"/>
  <c r="L18" i="5"/>
  <c r="K17" i="5"/>
  <c r="B33" i="5" s="1"/>
  <c r="B25" i="5"/>
  <c r="F25" i="5" s="1"/>
  <c r="F22" i="7" l="1"/>
  <c r="G22" i="7" s="1"/>
  <c r="K30" i="7"/>
  <c r="K26" i="7" s="1"/>
  <c r="K25" i="7"/>
  <c r="B23" i="7"/>
  <c r="B12" i="7"/>
  <c r="E20" i="5"/>
  <c r="E21" i="5"/>
  <c r="G21" i="5" s="1"/>
  <c r="E22" i="5"/>
  <c r="G22" i="5" s="1"/>
  <c r="E23" i="5"/>
  <c r="G23" i="5" s="1"/>
  <c r="E24" i="5"/>
  <c r="E25" i="5"/>
  <c r="E28" i="5"/>
  <c r="E19" i="5"/>
  <c r="F23" i="7" l="1"/>
  <c r="G23" i="7" s="1"/>
  <c r="B31" i="7"/>
  <c r="B13" i="7"/>
  <c r="B24" i="7"/>
  <c r="G19" i="5"/>
  <c r="E14" i="4"/>
  <c r="P12" i="4"/>
  <c r="P14" i="4"/>
  <c r="P13" i="4"/>
  <c r="F24" i="7" l="1"/>
  <c r="G24" i="7" s="1"/>
  <c r="B25" i="7"/>
  <c r="F25" i="7" s="1"/>
  <c r="B14" i="7"/>
  <c r="F28" i="5"/>
  <c r="G28" i="5" s="1"/>
  <c r="G25" i="5"/>
  <c r="G24" i="5"/>
  <c r="D16" i="5"/>
  <c r="K13" i="4"/>
  <c r="K10" i="4"/>
  <c r="C10" i="4"/>
  <c r="B8" i="4"/>
  <c r="B7" i="4"/>
  <c r="C7" i="4" s="1"/>
  <c r="B6" i="4"/>
  <c r="N2" i="4"/>
  <c r="N3" i="4" s="1"/>
  <c r="N4" i="4" s="1"/>
  <c r="N5" i="4" s="1"/>
  <c r="N6" i="4" s="1"/>
  <c r="N7" i="4" s="1"/>
  <c r="N8" i="4" s="1"/>
  <c r="N9" i="4" s="1"/>
  <c r="N10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N360" i="4" s="1"/>
  <c r="N361" i="4" s="1"/>
  <c r="N362" i="4" s="1"/>
  <c r="N363" i="4" s="1"/>
  <c r="N364" i="4" s="1"/>
  <c r="N365" i="4" s="1"/>
  <c r="N366" i="4" s="1"/>
  <c r="N367" i="4" s="1"/>
  <c r="K1" i="2"/>
  <c r="K2" i="2" s="1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8" i="2" s="1"/>
  <c r="K36" i="2" s="1"/>
  <c r="K39" i="2" s="1"/>
  <c r="K40" i="2" s="1"/>
  <c r="K37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D7" i="2"/>
  <c r="C7" i="2"/>
  <c r="E9" i="2"/>
  <c r="G2" i="2" s="1"/>
  <c r="H2" i="2" s="1"/>
  <c r="C14" i="4"/>
  <c r="F10" i="4" s="1"/>
  <c r="C8" i="4"/>
  <c r="C6" i="4"/>
  <c r="B15" i="7" l="1"/>
  <c r="B27" i="7" s="1"/>
  <c r="B26" i="7"/>
  <c r="F28" i="7"/>
  <c r="G28" i="7" s="1"/>
  <c r="G25" i="7"/>
  <c r="B34" i="5"/>
  <c r="E17" i="4"/>
  <c r="C15" i="4"/>
  <c r="D16" i="4" s="1"/>
  <c r="F9" i="4" s="1"/>
  <c r="K14" i="4"/>
  <c r="K15" i="4" s="1"/>
  <c r="E18" i="4" s="1"/>
  <c r="D8" i="2"/>
  <c r="B14" i="4"/>
  <c r="D17" i="4"/>
  <c r="D35" i="2"/>
  <c r="D41" i="2"/>
  <c r="D46" i="2"/>
  <c r="D37" i="2"/>
  <c r="D44" i="2"/>
  <c r="D34" i="2"/>
  <c r="D39" i="2"/>
  <c r="D32" i="2"/>
  <c r="D28" i="2"/>
  <c r="D45" i="2"/>
  <c r="D43" i="2"/>
  <c r="D42" i="2"/>
  <c r="D40" i="2"/>
  <c r="D36" i="2"/>
  <c r="D38" i="2"/>
  <c r="D33" i="2"/>
  <c r="D31" i="2"/>
  <c r="D30" i="2"/>
  <c r="D29" i="2"/>
  <c r="D27" i="2"/>
  <c r="F26" i="7" l="1"/>
  <c r="G26" i="7" s="1"/>
  <c r="F27" i="7"/>
  <c r="G27" i="7" s="1"/>
  <c r="F1" i="2"/>
  <c r="G29" i="7"/>
  <c r="B35" i="7" s="1"/>
  <c r="B37" i="7" s="1"/>
  <c r="D39" i="7" s="1"/>
  <c r="B39" i="7" s="1"/>
  <c r="D9" i="2"/>
  <c r="D10" i="2" s="1"/>
  <c r="E8" i="2"/>
  <c r="F16" i="4"/>
  <c r="E19" i="4" s="1"/>
  <c r="D18" i="4" l="1"/>
  <c r="B20" i="5" l="1"/>
  <c r="F20" i="5" s="1"/>
  <c r="G20" i="5" s="1"/>
  <c r="G29" i="5" s="1"/>
  <c r="B35" i="5" s="1"/>
  <c r="B37" i="5" s="1"/>
  <c r="B39" i="5" s="1"/>
  <c r="B38" i="7" l="1"/>
</calcChain>
</file>

<file path=xl/comments1.xml><?xml version="1.0" encoding="utf-8"?>
<comments xmlns="http://schemas.openxmlformats.org/spreadsheetml/2006/main">
  <authors>
    <author>Your User Name</author>
  </authors>
  <commentList>
    <comment ref="B1" authorId="0">
      <text>
        <r>
          <rPr>
            <b/>
            <sz val="14"/>
            <color indexed="81"/>
            <rFont val="Tahoma"/>
            <family val="2"/>
          </rPr>
          <t>1</t>
        </r>
      </text>
    </comment>
    <comment ref="B2" authorId="0">
      <text>
        <r>
          <rPr>
            <b/>
            <sz val="14"/>
            <color indexed="81"/>
            <rFont val="Tahoma"/>
            <family val="2"/>
          </rPr>
          <t>2</t>
        </r>
      </text>
    </comment>
    <comment ref="B3" authorId="0">
      <text>
        <r>
          <rPr>
            <b/>
            <sz val="14"/>
            <color indexed="81"/>
            <rFont val="Tahoma"/>
            <family val="2"/>
          </rPr>
          <t>3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14"/>
            <color indexed="81"/>
            <rFont val="Tahoma"/>
            <family val="2"/>
          </rPr>
          <t>4</t>
        </r>
      </text>
    </comment>
    <comment ref="C7" authorId="0">
      <text>
        <r>
          <rPr>
            <b/>
            <sz val="14"/>
            <color indexed="81"/>
            <rFont val="Tahoma"/>
            <family val="2"/>
          </rPr>
          <t>5</t>
        </r>
      </text>
    </comment>
    <comment ref="E7" authorId="0">
      <text>
        <r>
          <rPr>
            <b/>
            <sz val="14"/>
            <color indexed="81"/>
            <rFont val="Tahoma"/>
            <family val="2"/>
          </rPr>
          <t>6</t>
        </r>
      </text>
    </comment>
    <comment ref="C19" authorId="0">
      <text>
        <r>
          <rPr>
            <b/>
            <sz val="14"/>
            <color indexed="81"/>
            <rFont val="Tahoma"/>
            <family val="2"/>
          </rPr>
          <t>7</t>
        </r>
      </text>
    </comment>
    <comment ref="AM33" authorId="0">
      <text>
        <r>
          <rPr>
            <b/>
            <sz val="12"/>
            <color indexed="81"/>
            <rFont val="Tahoma"/>
            <family val="2"/>
          </rPr>
          <t>1: selecteer uw gebruikerstype
2: zaalgebruik 1/3 of volledig
3: waar wordt de zaal voor gebruikt
4: eerste dag van betreding (de rest vult automatisch aan)
5: uren gebruik, per gebruikersdag in te vullen
6: is de zaal toegankelijk voor publiek: ja of nee
7: hoeveel uren schat je hoeveel technieker(s) nodig te zullen hebben?
indien materiaal nodig: vul de lichtblauwe lijst aan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Your User Name</author>
  </authors>
  <commentList>
    <comment ref="B1" authorId="0">
      <text>
        <r>
          <rPr>
            <b/>
            <sz val="14"/>
            <color indexed="81"/>
            <rFont val="Tahoma"/>
            <family val="2"/>
          </rPr>
          <t>1</t>
        </r>
      </text>
    </comment>
    <comment ref="B2" authorId="0">
      <text>
        <r>
          <rPr>
            <b/>
            <sz val="14"/>
            <color indexed="81"/>
            <rFont val="Tahoma"/>
            <family val="2"/>
          </rPr>
          <t>2</t>
        </r>
      </text>
    </comment>
    <comment ref="B3" authorId="0">
      <text>
        <r>
          <rPr>
            <b/>
            <sz val="14"/>
            <color indexed="81"/>
            <rFont val="Tahoma"/>
            <family val="2"/>
          </rPr>
          <t>3</t>
        </r>
      </text>
    </comment>
    <comment ref="B7" authorId="0">
      <text>
        <r>
          <rPr>
            <b/>
            <sz val="14"/>
            <color indexed="81"/>
            <rFont val="Tahoma"/>
            <family val="2"/>
          </rPr>
          <t>4</t>
        </r>
      </text>
    </comment>
    <comment ref="C7" authorId="0">
      <text>
        <r>
          <rPr>
            <b/>
            <sz val="14"/>
            <color indexed="81"/>
            <rFont val="Tahoma"/>
            <family val="2"/>
          </rPr>
          <t>5</t>
        </r>
      </text>
    </comment>
    <comment ref="E7" authorId="0">
      <text>
        <r>
          <rPr>
            <b/>
            <sz val="14"/>
            <color indexed="81"/>
            <rFont val="Tahoma"/>
            <family val="2"/>
          </rPr>
          <t>6</t>
        </r>
      </text>
    </comment>
    <comment ref="C19" authorId="0">
      <text>
        <r>
          <rPr>
            <b/>
            <sz val="14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N38" authorId="0">
      <text>
        <r>
          <rPr>
            <b/>
            <sz val="12"/>
            <color indexed="81"/>
            <rFont val="Tahoma"/>
            <family val="2"/>
          </rPr>
          <t>1: selecteer uw gebruikerstype
2: locatie: CC (Guldenberg) of OC (de Stekke of de Cerf)
3: waar wordt de zaal voor gebruikt
4: eerste dag van betreding (de rest vult automatisch aan)
5: uren gebruik, per gebruikersdag in te vullen
6: is de zaal toegankelijk voor publiek: ja of nee
7: hoeveel uren schat je hoeveel technieker(s) nodig te zullen hebben?
indien materiaal nodig: vul de lichtblauwe lijst aan</t>
        </r>
      </text>
    </comment>
  </commentList>
</comments>
</file>

<file path=xl/sharedStrings.xml><?xml version="1.0" encoding="utf-8"?>
<sst xmlns="http://schemas.openxmlformats.org/spreadsheetml/2006/main" count="471" uniqueCount="184">
  <si>
    <t>locatie</t>
  </si>
  <si>
    <t>forfait</t>
  </si>
  <si>
    <t>uurtarief</t>
  </si>
  <si>
    <t>ma</t>
  </si>
  <si>
    <t>di</t>
  </si>
  <si>
    <t>woe</t>
  </si>
  <si>
    <t>do</t>
  </si>
  <si>
    <t>vr</t>
  </si>
  <si>
    <t>za</t>
  </si>
  <si>
    <t>zo</t>
  </si>
  <si>
    <t>uren</t>
  </si>
  <si>
    <t>voorschotfactuur</t>
  </si>
  <si>
    <t>zaalgebruik</t>
  </si>
  <si>
    <t>techniekers</t>
  </si>
  <si>
    <t>kost zaal</t>
  </si>
  <si>
    <t>uren techniek feestdag geen weekend</t>
  </si>
  <si>
    <t>ja</t>
  </si>
  <si>
    <t>nee</t>
  </si>
  <si>
    <t>totaal</t>
  </si>
  <si>
    <t>repetitie</t>
  </si>
  <si>
    <t>tarief 1</t>
  </si>
  <si>
    <t>tarief 2</t>
  </si>
  <si>
    <t>tarief 3</t>
  </si>
  <si>
    <t>tarief 4</t>
  </si>
  <si>
    <t>geef hieronder het 'type organisator' in</t>
  </si>
  <si>
    <t>niet commercieel uit gemeente Wevelgem</t>
  </si>
  <si>
    <t>commercieel uit gemeente Wevelgem</t>
  </si>
  <si>
    <t>buiten gemeente Wevelgem</t>
  </si>
  <si>
    <t>cafetaria de stekke</t>
  </si>
  <si>
    <t>cafetaria de cerf</t>
  </si>
  <si>
    <t>cafetaria CC Guldenberg</t>
  </si>
  <si>
    <t>uurprijs</t>
  </si>
  <si>
    <t>prijs per dagdeel</t>
  </si>
  <si>
    <t>prijs per dag</t>
  </si>
  <si>
    <t>minimumprijs</t>
  </si>
  <si>
    <t>startuur</t>
  </si>
  <si>
    <t>einduur</t>
  </si>
  <si>
    <t>startdag</t>
  </si>
  <si>
    <t>einddag</t>
  </si>
  <si>
    <t>aantal uur</t>
  </si>
  <si>
    <t>te laat</t>
  </si>
  <si>
    <t>te vroeg</t>
  </si>
  <si>
    <t>extra</t>
  </si>
  <si>
    <t xml:space="preserve">extra </t>
  </si>
  <si>
    <t>dagen</t>
  </si>
  <si>
    <t>€</t>
  </si>
  <si>
    <t>kies hieronder de accommodatie</t>
  </si>
  <si>
    <t>tarief:</t>
  </si>
  <si>
    <t>dag</t>
  </si>
  <si>
    <t>subtotaal</t>
  </si>
  <si>
    <t>dagdelen</t>
  </si>
  <si>
    <t>dagdeel</t>
  </si>
  <si>
    <t>tarief per uur</t>
  </si>
  <si>
    <t>publieksactiviteit</t>
  </si>
  <si>
    <t>geen publieksactiviteit</t>
  </si>
  <si>
    <t>gemeentelijke vereniging, niet commercieel</t>
  </si>
  <si>
    <t>commerciële of niet gemeentelijke organisatie</t>
  </si>
  <si>
    <t>lid wevelgemse adviesraad</t>
  </si>
  <si>
    <t>gewoon gebruik</t>
  </si>
  <si>
    <t>gebruiker</t>
  </si>
  <si>
    <t>gebruik</t>
  </si>
  <si>
    <t>tarief</t>
  </si>
  <si>
    <t>techniek</t>
  </si>
  <si>
    <t>zaal</t>
  </si>
  <si>
    <t>1/3 zaal</t>
  </si>
  <si>
    <t>fuif</t>
  </si>
  <si>
    <t>uurtarief zaalgebruik</t>
  </si>
  <si>
    <t>kost techniekers</t>
  </si>
  <si>
    <t>kost materiaal</t>
  </si>
  <si>
    <t>eindafrekening</t>
  </si>
  <si>
    <t>kost</t>
  </si>
  <si>
    <t>Extra monitor</t>
  </si>
  <si>
    <t>3 € stuk/forfaitair</t>
  </si>
  <si>
    <t>Micro op statief</t>
  </si>
  <si>
    <t>Draadloze micro</t>
  </si>
  <si>
    <t>7 € stuk/forfaitair</t>
  </si>
  <si>
    <t>Headset</t>
  </si>
  <si>
    <t>CD-speler of mini-disc</t>
  </si>
  <si>
    <t>DVD of Video of Blue Ray player</t>
  </si>
  <si>
    <t>Hazer</t>
  </si>
  <si>
    <t>Black Light</t>
  </si>
  <si>
    <t>Stroboscoop</t>
  </si>
  <si>
    <t>Spiegelbol</t>
  </si>
  <si>
    <t>Kleine beamer (mobiel)</t>
  </si>
  <si>
    <t>15 € stuk/dag</t>
  </si>
  <si>
    <t>Scherm 4x3m (mobiel)</t>
  </si>
  <si>
    <t>10 € stuk/dag</t>
  </si>
  <si>
    <t>Scherm klein (mobiel)</t>
  </si>
  <si>
    <t>5 € stuk/dag</t>
  </si>
  <si>
    <t>Spreekstoel</t>
  </si>
  <si>
    <t>Decibelmeter</t>
  </si>
  <si>
    <t>15 € stuk/forfaitair</t>
  </si>
  <si>
    <t>Compacte mobiele geluidsinstallatie (1 luidspreker met ingebouwde micro, CD-speler)</t>
  </si>
  <si>
    <t>Compacte mobiele geluidsinstallatie met 2 luisprekers en geluidstafel</t>
  </si>
  <si>
    <t>25 € stuk/dag</t>
  </si>
  <si>
    <t>Mobiele geluidsinstallatie met 4 luidsprekers, 2 subs en geluidstafel</t>
  </si>
  <si>
    <t>Extra luidspreker(s)</t>
  </si>
  <si>
    <t>100 € stuk/dag</t>
  </si>
  <si>
    <t xml:space="preserve"> + 80 € op- en afbouw door theatertechniekers</t>
  </si>
  <si>
    <t>Materiaal in verhuur:</t>
  </si>
  <si>
    <t>Compacte mobiele geluidsinstallatie (1 luid-spreker met ingebouwde micro, CD-speler)</t>
  </si>
  <si>
    <t>Vast Geluidssysteem (vast luidsprekers, 2 monitors, geluidstafel)</t>
  </si>
  <si>
    <t>Vaste basisbelichting (20kW met lichttafel)</t>
  </si>
  <si>
    <t>Per 5kW extra</t>
  </si>
  <si>
    <t>Grootbeeldbeamer in OC De Stekke</t>
  </si>
  <si>
    <t>Tribune opstelling in OC de Stekke</t>
  </si>
  <si>
    <t>Kleine Beamer (mobiel)</t>
  </si>
  <si>
    <t>Compacte mobiele geluidsinstallatie met 2 luidsprekers en geluidstafel</t>
  </si>
  <si>
    <t>Mobiele geluidsinstallatie met 4 luidsprekers, 2 subs en geluistafel</t>
  </si>
  <si>
    <t>Extra luidsprekers</t>
  </si>
  <si>
    <t>aantal</t>
  </si>
  <si>
    <t>forfaitair</t>
  </si>
  <si>
    <t>stuk/forfaitair</t>
  </si>
  <si>
    <t>per 5 kW/forfaitair</t>
  </si>
  <si>
    <t>stuk/dag</t>
  </si>
  <si>
    <t>Gebruik Cafetaria OC de Stekke, OC de Cerf of CC Guldenberg zonder grote zaal</t>
  </si>
  <si>
    <t>variabelen</t>
  </si>
  <si>
    <t>techniek za zo</t>
  </si>
  <si>
    <t>extra dag</t>
  </si>
  <si>
    <t>forfait/voorschotfact</t>
  </si>
  <si>
    <t>voorschot</t>
  </si>
  <si>
    <t>pic out</t>
  </si>
  <si>
    <t>Factuurtotaal</t>
  </si>
  <si>
    <t>publieks-activiteit</t>
  </si>
  <si>
    <t>uren gebruik</t>
  </si>
  <si>
    <t>dag van de fuif</t>
  </si>
  <si>
    <t>maximum afrekening</t>
  </si>
  <si>
    <t># Techniekers</t>
  </si>
  <si>
    <t>aangerekende uren gebruik</t>
  </si>
  <si>
    <t>forfait zaal</t>
  </si>
  <si>
    <t xml:space="preserve"> - voorschotfactuur</t>
  </si>
  <si>
    <t>Compacte mobiele geluidsinstallatie (1luidspreker, micro, CD-speler)</t>
  </si>
  <si>
    <t>amateurkunsten eigen opvoering</t>
  </si>
  <si>
    <t>OC de Stekke of OC de Cerf</t>
  </si>
  <si>
    <t>CC Guldenberg</t>
  </si>
  <si>
    <t>extra dagen</t>
  </si>
  <si>
    <t>forfait gebruik</t>
  </si>
  <si>
    <t>de Stekke &amp; de Cerf</t>
  </si>
  <si>
    <t>netto drankinkomst</t>
  </si>
  <si>
    <t>techniek op zaterdag</t>
  </si>
  <si>
    <t>vast voorschot</t>
  </si>
  <si>
    <t>voorschotforfait</t>
  </si>
  <si>
    <t>gebruikforfait</t>
  </si>
  <si>
    <t>extraforfait</t>
  </si>
  <si>
    <t>variabel voorschot = optelsom forfait en uurtarief</t>
  </si>
  <si>
    <t>variabel voorschot = min. voorschotfact / publieksact</t>
  </si>
  <si>
    <t>eindfactuur = minimaal voorschotfactuur</t>
  </si>
  <si>
    <t>eindfactuur incl forfait gebruik</t>
  </si>
  <si>
    <t>berekening</t>
  </si>
  <si>
    <t>voorschot berekening</t>
  </si>
  <si>
    <t>voorschotberekening</t>
  </si>
  <si>
    <t>forf publ act</t>
  </si>
  <si>
    <t>voorscht uren</t>
  </si>
  <si>
    <t>te nemen</t>
  </si>
  <si>
    <t>repetitite</t>
  </si>
  <si>
    <t>gebruiksforfait</t>
  </si>
  <si>
    <t>type activiteit</t>
  </si>
  <si>
    <t>uur</t>
  </si>
  <si>
    <t>Porseleinhallen</t>
  </si>
  <si>
    <t>Grote zalen OC's en CC</t>
  </si>
  <si>
    <t>uren ter facturatie</t>
  </si>
  <si>
    <t>uren techniek op feestdag geen weekend</t>
  </si>
  <si>
    <t>maximale bezetting voor deze locaite:</t>
  </si>
  <si>
    <t>Porseleinhallen vergaderlokaal V2 gelijkvloers</t>
  </si>
  <si>
    <t>Porseleinhallen leskeuken V3 zonder gebruik kookaccommodatie</t>
  </si>
  <si>
    <t>Porseleinhallen vergaderzaal V1 van voor repetities van plaatselijke amateurkunstenverenigingen en voor vormingsreeksen door centra voor volwassenenonderwijs en sociale promotie</t>
  </si>
  <si>
    <t>Porseleinhallen vergaderlokaal V1</t>
  </si>
  <si>
    <t>CC Guldenberg vergaderzaaltje</t>
  </si>
  <si>
    <t>CC Guldenberg benedenzaal</t>
  </si>
  <si>
    <t xml:space="preserve">CC Guldenberg benedenzaal voor repetities van plaatselijke amateurkunstenverenigingen en voor vormingsreeksen door centra voor volwassenenonderwijs en sociale promotie </t>
  </si>
  <si>
    <t>Porseleinhallen Cafetaria</t>
  </si>
  <si>
    <t>Porseleinhallen Leskeuken met gebruik kookaccommodatie</t>
  </si>
  <si>
    <t>Gullegem vergaderzaaltje Gemeentehuis</t>
  </si>
  <si>
    <t>Gullegem grote vergaderzaal (‘receptiezaal’) Gemeentehuis</t>
  </si>
  <si>
    <t>Gullegem receptiezaal van het Gemeentehuis voor repetities van plaatselijke amateurkunstenverenigingen en voor vormingsreeksen door centra voor volwassenenonderwijs en sociale promotie</t>
  </si>
  <si>
    <t>OC de Cerf leskeuken zonder gebruik kookaccommodatie</t>
  </si>
  <si>
    <t>OC de Cerf leskeuken met gebruik van de kookaccommodatie</t>
  </si>
  <si>
    <t>Gullegem Oude Pastorie</t>
  </si>
  <si>
    <t>OC De Stekke leskeuken (V2) zonder gebruik van de kookaccommodatie</t>
  </si>
  <si>
    <t>OC De Stekke vergaderlokaal V3 (bovenverdieping)</t>
  </si>
  <si>
    <t>OC De Stekke vergaderlokaal V1 (bovenverdieping)</t>
  </si>
  <si>
    <t>OC De Stekke vergaderzaal V1 (bovenverdieping) voor repetities van plaatselijke amateurkunstenverenigingen en voor vormingsreeksen door centra voor volwassenenonderwijs en sociale promotie</t>
  </si>
  <si>
    <t>OC De Stekke leskeuken met gebruik van de kookaccommodatie</t>
  </si>
  <si>
    <t>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</si>
</sst>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;@"/>
    <numFmt numFmtId="165" formatCode="h:mm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theme="2" tint="-9.9978637043366805E-2"/>
      <name val="Times New Roman"/>
      <family val="1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2"/>
      <name val="Times New Roman"/>
      <family val="1"/>
    </font>
    <font>
      <sz val="12"/>
      <color theme="2" tint="-0.249977111117893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8"/>
      <color indexed="81"/>
      <name val="Tahoma"/>
      <charset val="1"/>
    </font>
    <font>
      <sz val="14"/>
      <color indexed="81"/>
      <name val="Tahoma"/>
      <family val="2"/>
    </font>
    <font>
      <sz val="8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Protection="1">
      <protection hidden="1"/>
    </xf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8" fillId="0" borderId="0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1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Protection="1">
      <protection locked="0"/>
    </xf>
    <xf numFmtId="165" fontId="5" fillId="4" borderId="0" xfId="0" applyNumberFormat="1" applyFont="1" applyFill="1" applyBorder="1" applyProtection="1">
      <protection locked="0"/>
    </xf>
    <xf numFmtId="164" fontId="5" fillId="4" borderId="0" xfId="0" applyNumberFormat="1" applyFont="1" applyFill="1" applyBorder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5" fillId="0" borderId="0" xfId="0" applyFont="1"/>
    <xf numFmtId="0" fontId="12" fillId="0" borderId="7" xfId="0" applyFont="1" applyBorder="1"/>
    <xf numFmtId="0" fontId="12" fillId="0" borderId="0" xfId="0" applyFont="1" applyBorder="1"/>
    <xf numFmtId="0" fontId="12" fillId="0" borderId="9" xfId="0" applyFont="1" applyBorder="1"/>
    <xf numFmtId="0" fontId="12" fillId="0" borderId="10" xfId="0" applyFont="1" applyBorder="1"/>
    <xf numFmtId="0" fontId="1" fillId="2" borderId="8" xfId="0" applyFont="1" applyFill="1" applyBorder="1"/>
    <xf numFmtId="0" fontId="0" fillId="2" borderId="10" xfId="0" applyFill="1" applyBorder="1"/>
    <xf numFmtId="20" fontId="0" fillId="0" borderId="0" xfId="0" applyNumberFormat="1"/>
    <xf numFmtId="0" fontId="0" fillId="0" borderId="0" xfId="0" applyBorder="1" applyAlignment="1">
      <alignment horizontal="right"/>
    </xf>
    <xf numFmtId="164" fontId="5" fillId="4" borderId="4" xfId="0" applyNumberFormat="1" applyFont="1" applyFill="1" applyBorder="1" applyProtection="1">
      <protection locked="0"/>
    </xf>
    <xf numFmtId="0" fontId="0" fillId="0" borderId="8" xfId="0" applyBorder="1" applyAlignment="1">
      <alignment horizontal="right"/>
    </xf>
    <xf numFmtId="0" fontId="8" fillId="0" borderId="0" xfId="0" applyNumberFormat="1" applyFont="1" applyBorder="1" applyAlignment="1">
      <alignment horizontal="center"/>
    </xf>
    <xf numFmtId="164" fontId="5" fillId="4" borderId="4" xfId="0" applyNumberFormat="1" applyFont="1" applyFill="1" applyBorder="1" applyAlignment="1" applyProtection="1">
      <alignment horizontal="center"/>
      <protection locked="0"/>
    </xf>
    <xf numFmtId="165" fontId="5" fillId="4" borderId="0" xfId="0" applyNumberFormat="1" applyFont="1" applyFill="1" applyBorder="1" applyAlignment="1" applyProtection="1">
      <alignment horizontal="center"/>
      <protection locked="0"/>
    </xf>
    <xf numFmtId="164" fontId="5" fillId="4" borderId="5" xfId="0" applyNumberFormat="1" applyFont="1" applyFill="1" applyBorder="1" applyAlignment="1" applyProtection="1">
      <alignment horizontal="center"/>
      <protection locked="0"/>
    </xf>
    <xf numFmtId="165" fontId="5" fillId="4" borderId="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Border="1" applyAlignment="1">
      <alignment horizontal="center"/>
    </xf>
    <xf numFmtId="14" fontId="5" fillId="0" borderId="0" xfId="0" applyNumberFormat="1" applyFont="1"/>
    <xf numFmtId="20" fontId="5" fillId="0" borderId="0" xfId="0" applyNumberFormat="1" applyFont="1"/>
    <xf numFmtId="0" fontId="1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right"/>
    </xf>
    <xf numFmtId="165" fontId="5" fillId="4" borderId="4" xfId="0" applyNumberFormat="1" applyFont="1" applyFill="1" applyBorder="1" applyProtection="1">
      <protection locked="0"/>
    </xf>
    <xf numFmtId="0" fontId="5" fillId="0" borderId="0" xfId="0" applyFont="1" applyFill="1" applyBorder="1"/>
    <xf numFmtId="1" fontId="5" fillId="0" borderId="0" xfId="0" applyNumberFormat="1" applyFont="1" applyBorder="1"/>
    <xf numFmtId="0" fontId="0" fillId="0" borderId="1" xfId="0" applyBorder="1" applyAlignment="1">
      <alignment horizontal="center"/>
    </xf>
    <xf numFmtId="0" fontId="5" fillId="4" borderId="5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13" fillId="0" borderId="0" xfId="0" applyFont="1" applyAlignment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Protection="1">
      <protection hidden="1"/>
    </xf>
    <xf numFmtId="0" fontId="0" fillId="0" borderId="0" xfId="0" applyProtection="1"/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Protection="1"/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protection hidden="1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right"/>
    </xf>
    <xf numFmtId="0" fontId="15" fillId="7" borderId="0" xfId="0" applyFont="1" applyFill="1" applyBorder="1" applyAlignment="1" applyProtection="1">
      <alignment horizontal="center"/>
    </xf>
    <xf numFmtId="0" fontId="0" fillId="8" borderId="0" xfId="0" applyFill="1" applyProtection="1"/>
    <xf numFmtId="0" fontId="8" fillId="0" borderId="6" xfId="0" applyFont="1" applyBorder="1" applyAlignment="1">
      <alignment horizontal="right"/>
    </xf>
    <xf numFmtId="0" fontId="8" fillId="0" borderId="0" xfId="0" applyNumberFormat="1" applyFont="1" applyBorder="1"/>
    <xf numFmtId="0" fontId="8" fillId="0" borderId="6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1" fillId="0" borderId="11" xfId="0" applyFont="1" applyBorder="1"/>
    <xf numFmtId="0" fontId="9" fillId="0" borderId="0" xfId="0" applyFont="1" applyBorder="1" applyAlignment="1">
      <alignment vertical="center" wrapText="1"/>
    </xf>
    <xf numFmtId="0" fontId="2" fillId="5" borderId="0" xfId="0" applyFont="1" applyFill="1" applyBorder="1" applyAlignment="1" applyProtection="1">
      <alignment horizontal="right"/>
    </xf>
    <xf numFmtId="0" fontId="2" fillId="6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10" borderId="0" xfId="0" applyFill="1" applyProtection="1">
      <protection locked="0"/>
    </xf>
    <xf numFmtId="0" fontId="8" fillId="0" borderId="0" xfId="0" applyFont="1" applyProtection="1"/>
    <xf numFmtId="0" fontId="17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right"/>
      <protection hidden="1"/>
    </xf>
    <xf numFmtId="0" fontId="0" fillId="11" borderId="0" xfId="0" applyFill="1" applyBorder="1" applyProtection="1">
      <protection hidden="1"/>
    </xf>
    <xf numFmtId="0" fontId="0" fillId="11" borderId="0" xfId="0" applyFill="1" applyBorder="1" applyAlignment="1" applyProtection="1">
      <alignment horizontal="left"/>
      <protection hidden="1"/>
    </xf>
    <xf numFmtId="0" fontId="0" fillId="12" borderId="0" xfId="0" applyFill="1" applyBorder="1" applyProtection="1">
      <protection hidden="1"/>
    </xf>
    <xf numFmtId="0" fontId="0" fillId="13" borderId="0" xfId="0" applyFill="1" applyBorder="1" applyProtection="1">
      <protection hidden="1"/>
    </xf>
    <xf numFmtId="0" fontId="0" fillId="0" borderId="0" xfId="0" applyAlignment="1" applyProtection="1">
      <alignment horizontal="center"/>
    </xf>
    <xf numFmtId="0" fontId="0" fillId="15" borderId="0" xfId="0" applyFill="1" applyBorder="1" applyProtection="1">
      <protection hidden="1"/>
    </xf>
    <xf numFmtId="0" fontId="0" fillId="14" borderId="0" xfId="0" applyFill="1" applyBorder="1" applyProtection="1">
      <protection hidden="1"/>
    </xf>
    <xf numFmtId="0" fontId="0" fillId="2" borderId="0" xfId="0" applyFill="1" applyProtection="1"/>
    <xf numFmtId="0" fontId="0" fillId="2" borderId="0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5" fillId="18" borderId="0" xfId="0" applyFont="1" applyFill="1" applyBorder="1" applyAlignment="1" applyProtection="1">
      <alignment horizontal="right"/>
    </xf>
    <xf numFmtId="0" fontId="15" fillId="18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horizontal="center" vertical="top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0" fillId="0" borderId="1" xfId="0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Protection="1"/>
    <xf numFmtId="0" fontId="9" fillId="1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4" borderId="6" xfId="0" applyFill="1" applyBorder="1" applyAlignment="1" applyProtection="1">
      <alignment horizontal="center"/>
      <protection locked="0"/>
    </xf>
    <xf numFmtId="0" fontId="0" fillId="16" borderId="2" xfId="0" applyFill="1" applyBorder="1" applyProtection="1"/>
    <xf numFmtId="0" fontId="20" fillId="9" borderId="0" xfId="0" applyFont="1" applyFill="1" applyBorder="1" applyAlignment="1" applyProtection="1">
      <alignment horizontal="center"/>
    </xf>
    <xf numFmtId="0" fontId="16" fillId="17" borderId="0" xfId="0" applyFont="1" applyFill="1" applyBorder="1" applyAlignment="1" applyProtection="1">
      <alignment horizontal="center" vertical="top"/>
    </xf>
    <xf numFmtId="0" fontId="16" fillId="16" borderId="2" xfId="0" applyFont="1" applyFill="1" applyBorder="1" applyAlignment="1" applyProtection="1">
      <alignment horizontal="center"/>
    </xf>
    <xf numFmtId="0" fontId="1" fillId="16" borderId="10" xfId="0" applyFon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0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15" xfId="0" applyBorder="1" applyProtection="1"/>
    <xf numFmtId="0" fontId="0" fillId="0" borderId="2" xfId="0" applyFill="1" applyBorder="1" applyProtection="1">
      <protection hidden="1"/>
    </xf>
    <xf numFmtId="0" fontId="0" fillId="0" borderId="16" xfId="0" applyBorder="1" applyProtection="1"/>
    <xf numFmtId="0" fontId="0" fillId="11" borderId="17" xfId="0" applyFill="1" applyBorder="1" applyAlignment="1" applyProtection="1">
      <alignment horizontal="left"/>
      <protection hidden="1"/>
    </xf>
    <xf numFmtId="0" fontId="0" fillId="2" borderId="0" xfId="0" applyFill="1" applyBorder="1" applyProtection="1"/>
    <xf numFmtId="0" fontId="0" fillId="12" borderId="18" xfId="0" applyFill="1" applyBorder="1" applyProtection="1">
      <protection hidden="1"/>
    </xf>
    <xf numFmtId="0" fontId="6" fillId="0" borderId="17" xfId="0" applyFont="1" applyFill="1" applyBorder="1" applyProtection="1">
      <protection hidden="1"/>
    </xf>
    <xf numFmtId="0" fontId="0" fillId="0" borderId="18" xfId="0" applyBorder="1" applyProtection="1"/>
    <xf numFmtId="0" fontId="0" fillId="0" borderId="18" xfId="0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6" fillId="0" borderId="19" xfId="0" applyFont="1" applyFill="1" applyBorder="1" applyProtection="1">
      <protection hidden="1"/>
    </xf>
    <xf numFmtId="0" fontId="6" fillId="0" borderId="1" xfId="0" applyFont="1" applyFill="1" applyBorder="1" applyProtection="1">
      <protection hidden="1"/>
    </xf>
    <xf numFmtId="0" fontId="0" fillId="15" borderId="1" xfId="0" applyFill="1" applyBorder="1" applyProtection="1">
      <protection hidden="1"/>
    </xf>
    <xf numFmtId="0" fontId="0" fillId="13" borderId="1" xfId="0" applyFill="1" applyBorder="1" applyProtection="1">
      <protection hidden="1"/>
    </xf>
    <xf numFmtId="0" fontId="0" fillId="12" borderId="1" xfId="0" applyFill="1" applyBorder="1" applyProtection="1">
      <protection hidden="1"/>
    </xf>
    <xf numFmtId="0" fontId="0" fillId="0" borderId="1" xfId="0" applyBorder="1" applyProtection="1"/>
    <xf numFmtId="0" fontId="0" fillId="0" borderId="20" xfId="0" applyBorder="1" applyProtection="1"/>
    <xf numFmtId="1" fontId="0" fillId="8" borderId="0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3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3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Protection="1"/>
    <xf numFmtId="0" fontId="16" fillId="0" borderId="0" xfId="0" applyFont="1" applyFill="1" applyBorder="1" applyAlignment="1" applyProtection="1">
      <alignment horizontal="right" vertical="top"/>
    </xf>
    <xf numFmtId="0" fontId="16" fillId="16" borderId="0" xfId="0" applyFont="1" applyFill="1" applyBorder="1" applyAlignment="1" applyProtection="1">
      <alignment horizontal="center"/>
    </xf>
    <xf numFmtId="0" fontId="9" fillId="10" borderId="1" xfId="0" applyFont="1" applyFill="1" applyBorder="1" applyAlignment="1" applyProtection="1">
      <alignment horizontal="center" wrapText="1"/>
    </xf>
    <xf numFmtId="0" fontId="15" fillId="7" borderId="21" xfId="0" applyFont="1" applyFill="1" applyBorder="1" applyAlignment="1" applyProtection="1">
      <alignment horizontal="center"/>
    </xf>
    <xf numFmtId="0" fontId="0" fillId="0" borderId="22" xfId="0" applyBorder="1"/>
    <xf numFmtId="1" fontId="8" fillId="0" borderId="23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0" fontId="0" fillId="16" borderId="9" xfId="0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/>
    </xf>
    <xf numFmtId="0" fontId="0" fillId="16" borderId="8" xfId="0" applyFill="1" applyBorder="1" applyAlignment="1" applyProtection="1">
      <alignment horizontal="center" vertical="top"/>
      <protection locked="0"/>
    </xf>
    <xf numFmtId="0" fontId="16" fillId="4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11" borderId="0" xfId="0" applyFill="1" applyAlignment="1">
      <alignment horizontal="center"/>
    </xf>
    <xf numFmtId="0" fontId="1" fillId="11" borderId="0" xfId="0" applyFont="1" applyFill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 applyProtection="1">
      <alignment horizontal="right"/>
    </xf>
    <xf numFmtId="0" fontId="16" fillId="5" borderId="0" xfId="0" applyFont="1" applyFill="1" applyBorder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left"/>
      <protection locked="0"/>
    </xf>
    <xf numFmtId="0" fontId="0" fillId="13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28" fillId="0" borderId="7" xfId="0" applyFont="1" applyBorder="1" applyAlignment="1" applyProtection="1">
      <alignment horizontal="right" vertical="center" textRotation="90"/>
    </xf>
    <xf numFmtId="0" fontId="24" fillId="19" borderId="0" xfId="0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  <protection hidden="1"/>
    </xf>
    <xf numFmtId="0" fontId="23" fillId="20" borderId="0" xfId="0" applyFont="1" applyFill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11" borderId="0" xfId="0" applyFill="1" applyAlignment="1">
      <alignment horizontal="left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">
    <cellStyle name="Standaard" xfId="0" builtinId="0"/>
  </cellStyles>
  <dxfs count="48"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7" tint="0.79998168889431442"/>
      </font>
    </dxf>
    <dxf>
      <font>
        <color theme="6" tint="0.39994506668294322"/>
      </font>
    </dxf>
    <dxf>
      <font>
        <color theme="0"/>
      </font>
    </dxf>
    <dxf>
      <font>
        <color theme="8"/>
      </font>
    </dxf>
    <dxf>
      <font>
        <color rgb="FF00B0F0"/>
      </font>
    </dxf>
    <dxf>
      <font>
        <color theme="8" tint="0.39994506668294322"/>
      </font>
    </dxf>
    <dxf>
      <font>
        <color theme="9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7" tint="0.79998168889431442"/>
      </font>
    </dxf>
    <dxf>
      <font>
        <color theme="6" tint="0.39994506668294322"/>
      </font>
    </dxf>
    <dxf>
      <font>
        <color theme="6" tint="0.39994506668294322"/>
      </font>
    </dxf>
    <dxf>
      <font>
        <color theme="0"/>
      </font>
    </dxf>
    <dxf>
      <font>
        <color theme="2" tint="-9.9948118533890809E-2"/>
      </font>
    </dxf>
    <dxf>
      <font>
        <color theme="9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V77"/>
  <sheetViews>
    <sheetView showGridLines="0" showRowColHeaders="0" zoomScale="85" zoomScaleNormal="85" workbookViewId="0">
      <selection activeCell="B2" sqref="B2:G2"/>
    </sheetView>
  </sheetViews>
  <sheetFormatPr defaultRowHeight="15" x14ac:dyDescent="0.25"/>
  <cols>
    <col min="1" max="1" width="25.5703125" style="71" customWidth="1"/>
    <col min="2" max="2" width="9" style="81" customWidth="1"/>
    <col min="3" max="3" width="7" style="83" customWidth="1"/>
    <col min="4" max="4" width="11.42578125" style="83" customWidth="1"/>
    <col min="5" max="5" width="8.5703125" style="81" customWidth="1"/>
    <col min="6" max="6" width="6.28515625" style="81" customWidth="1"/>
    <col min="7" max="7" width="9.140625" style="71" customWidth="1"/>
    <col min="8" max="8" width="4.140625" style="71" customWidth="1"/>
    <col min="9" max="9" width="7" style="70" hidden="1" customWidth="1"/>
    <col min="10" max="10" width="49.42578125" style="70" hidden="1" customWidth="1"/>
    <col min="11" max="11" width="6.7109375" style="70" hidden="1" customWidth="1"/>
    <col min="12" max="12" width="9.85546875" style="70" hidden="1" customWidth="1"/>
    <col min="13" max="14" width="6.7109375" style="70" hidden="1" customWidth="1"/>
    <col min="15" max="15" width="9.140625" style="70" hidden="1" customWidth="1"/>
    <col min="16" max="16" width="5.140625" style="70" hidden="1" customWidth="1"/>
    <col min="17" max="17" width="5.42578125" style="70" hidden="1" customWidth="1"/>
    <col min="18" max="18" width="7.140625" style="70" hidden="1" customWidth="1"/>
    <col min="19" max="19" width="6.7109375" style="70" hidden="1" customWidth="1"/>
    <col min="20" max="20" width="9.140625" style="70" hidden="1" customWidth="1"/>
    <col min="21" max="26" width="6.85546875" style="70" hidden="1" customWidth="1"/>
    <col min="27" max="27" width="9.140625" style="71" hidden="1" customWidth="1"/>
    <col min="28" max="31" width="6.85546875" style="71" hidden="1" customWidth="1"/>
    <col min="32" max="35" width="9.140625" style="71" hidden="1" customWidth="1"/>
    <col min="36" max="36" width="9.85546875" style="71" hidden="1" customWidth="1"/>
    <col min="37" max="37" width="8.85546875" style="71" hidden="1" customWidth="1"/>
    <col min="38" max="38" width="12.7109375" style="71" customWidth="1"/>
    <col min="39" max="44" width="9.140625" style="71"/>
    <col min="45" max="45" width="5.42578125" style="71" customWidth="1"/>
    <col min="46" max="46" width="7.42578125" style="118" customWidth="1"/>
    <col min="47" max="47" width="14.5703125" style="71" customWidth="1"/>
    <col min="48" max="48" width="7.28515625" style="71" customWidth="1"/>
    <col min="49" max="49" width="5.42578125" style="71" customWidth="1"/>
    <col min="50" max="16384" width="9.140625" style="71"/>
  </cols>
  <sheetData>
    <row r="1" spans="1:63" ht="18.75" customHeight="1" x14ac:dyDescent="0.3">
      <c r="A1" s="104" t="s">
        <v>59</v>
      </c>
      <c r="B1" s="211"/>
      <c r="C1" s="211"/>
      <c r="D1" s="211"/>
      <c r="E1" s="211"/>
      <c r="F1" s="211"/>
      <c r="G1" s="211"/>
      <c r="H1" s="69"/>
      <c r="J1" s="114" t="s">
        <v>116</v>
      </c>
      <c r="K1" s="123" t="s">
        <v>63</v>
      </c>
      <c r="L1" s="123" t="s">
        <v>64</v>
      </c>
      <c r="M1" s="123" t="s">
        <v>58</v>
      </c>
      <c r="N1" s="123" t="str">
        <f>IF(B2=L1,I1,U6)</f>
        <v>fuif</v>
      </c>
      <c r="O1" s="123" t="str">
        <f>IF(B2=L1,I1,S6)</f>
        <v>repetitie</v>
      </c>
      <c r="P1" s="123" t="s">
        <v>16</v>
      </c>
      <c r="Q1" s="123" t="s">
        <v>17</v>
      </c>
      <c r="R1" s="123">
        <f>IF(E16&gt;0,E16,1)</f>
        <v>1</v>
      </c>
      <c r="S1" s="123">
        <f>IF(B3=O1,1,R1)</f>
        <v>1</v>
      </c>
      <c r="T1" s="95">
        <f>IF(B3=S6,V1,U1)</f>
        <v>16</v>
      </c>
      <c r="U1" s="95">
        <v>16</v>
      </c>
      <c r="V1" s="95">
        <v>24</v>
      </c>
      <c r="W1" s="123"/>
      <c r="X1" s="123"/>
      <c r="Y1" s="123"/>
      <c r="Z1" s="123"/>
      <c r="AA1" s="95"/>
      <c r="AB1" s="95"/>
      <c r="AL1" s="217" t="s">
        <v>158</v>
      </c>
      <c r="AM1" s="217"/>
      <c r="AN1" s="217"/>
      <c r="AO1" s="217"/>
      <c r="AP1" s="217"/>
      <c r="AQ1" s="217"/>
      <c r="AR1" s="217"/>
      <c r="AS1" s="217"/>
      <c r="AT1" s="217"/>
      <c r="AU1" s="217"/>
    </row>
    <row r="2" spans="1:63" ht="18.75" customHeight="1" x14ac:dyDescent="0.3">
      <c r="A2" s="105" t="s">
        <v>12</v>
      </c>
      <c r="B2" s="212"/>
      <c r="C2" s="212"/>
      <c r="D2" s="212"/>
      <c r="E2" s="212"/>
      <c r="F2" s="212"/>
      <c r="G2" s="212"/>
      <c r="H2" s="69"/>
      <c r="J2" s="4" t="s">
        <v>57</v>
      </c>
      <c r="K2" s="70" t="s">
        <v>125</v>
      </c>
      <c r="L2" s="70" t="s">
        <v>123</v>
      </c>
      <c r="R2" s="70">
        <f>IF(B3=M1,1,0)</f>
        <v>0</v>
      </c>
      <c r="S2" s="70">
        <f>S1-1</f>
        <v>0</v>
      </c>
      <c r="T2" s="70">
        <f>IF(B2=K1,1,0)</f>
        <v>0</v>
      </c>
      <c r="U2" s="70">
        <f>IF(B3=U6,0,1)</f>
        <v>1</v>
      </c>
      <c r="V2" s="70">
        <f>U2*T2</f>
        <v>0</v>
      </c>
      <c r="W2" s="70">
        <f>IF(V2=0,1,0)</f>
        <v>1</v>
      </c>
      <c r="AB2" s="70"/>
      <c r="AL2" s="217"/>
      <c r="AM2" s="217"/>
      <c r="AN2" s="217"/>
      <c r="AO2" s="217"/>
      <c r="AP2" s="217"/>
      <c r="AQ2" s="217"/>
      <c r="AR2" s="217"/>
      <c r="AS2" s="217"/>
      <c r="AT2" s="217"/>
      <c r="AU2" s="217"/>
    </row>
    <row r="3" spans="1:63" ht="18.75" x14ac:dyDescent="0.3">
      <c r="A3" s="104" t="s">
        <v>60</v>
      </c>
      <c r="B3" s="211"/>
      <c r="C3" s="211"/>
      <c r="D3" s="211"/>
      <c r="E3" s="211"/>
      <c r="F3" s="211"/>
      <c r="G3" s="211"/>
      <c r="H3" s="69"/>
      <c r="J3" s="4" t="s">
        <v>55</v>
      </c>
      <c r="AD3" s="70" t="s">
        <v>3</v>
      </c>
      <c r="AE3" s="70" t="s">
        <v>4</v>
      </c>
      <c r="AF3" s="71">
        <v>20</v>
      </c>
      <c r="AL3" s="217"/>
      <c r="AM3" s="217"/>
      <c r="AN3" s="217"/>
      <c r="AO3" s="217"/>
      <c r="AP3" s="217"/>
      <c r="AQ3" s="217"/>
      <c r="AR3" s="217"/>
      <c r="AS3" s="217"/>
      <c r="AT3" s="217"/>
      <c r="AU3" s="217"/>
    </row>
    <row r="4" spans="1:63" x14ac:dyDescent="0.25">
      <c r="E4" s="69"/>
      <c r="F4" s="69"/>
      <c r="G4" s="70"/>
      <c r="H4" s="69"/>
      <c r="J4" s="4" t="s">
        <v>56</v>
      </c>
      <c r="AD4" s="70" t="s">
        <v>4</v>
      </c>
      <c r="AE4" s="70" t="s">
        <v>5</v>
      </c>
      <c r="AF4" s="71">
        <v>20</v>
      </c>
    </row>
    <row r="5" spans="1:63" ht="19.5" thickBot="1" x14ac:dyDescent="0.3">
      <c r="A5" s="69"/>
      <c r="B5" s="196"/>
      <c r="C5" s="197" t="s">
        <v>2</v>
      </c>
      <c r="D5" s="198" t="e">
        <f>VLOOKUP(B2,J17:O18,5,FALSE)</f>
        <v>#N/A</v>
      </c>
      <c r="E5" s="73"/>
      <c r="F5" s="73"/>
      <c r="G5" s="69"/>
      <c r="H5" s="69"/>
      <c r="T5" s="214" t="s">
        <v>119</v>
      </c>
      <c r="U5" s="214"/>
      <c r="V5" s="215" t="s">
        <v>42</v>
      </c>
      <c r="W5" s="215"/>
      <c r="X5" s="118"/>
      <c r="Y5" s="213" t="s">
        <v>2</v>
      </c>
      <c r="Z5" s="213"/>
      <c r="AA5" s="213"/>
      <c r="AB5" s="213"/>
      <c r="AD5" s="70" t="s">
        <v>5</v>
      </c>
      <c r="AE5" s="70" t="s">
        <v>6</v>
      </c>
      <c r="AF5" s="71">
        <v>20</v>
      </c>
    </row>
    <row r="6" spans="1:63" ht="27.75" customHeight="1" x14ac:dyDescent="0.25">
      <c r="A6" s="106"/>
      <c r="B6" s="134" t="s">
        <v>48</v>
      </c>
      <c r="C6" s="133" t="s">
        <v>124</v>
      </c>
      <c r="D6" s="133" t="s">
        <v>160</v>
      </c>
      <c r="E6" s="126" t="str">
        <f>IF(B3=U6,K2,L2)</f>
        <v>publieks-activiteit</v>
      </c>
      <c r="F6" s="73"/>
      <c r="G6" s="69"/>
      <c r="H6" s="69"/>
      <c r="J6" s="115" t="s">
        <v>63</v>
      </c>
      <c r="K6" s="70" t="s">
        <v>1</v>
      </c>
      <c r="L6" s="113" t="s">
        <v>120</v>
      </c>
      <c r="M6" s="121" t="s">
        <v>118</v>
      </c>
      <c r="N6" s="117" t="s">
        <v>2</v>
      </c>
      <c r="O6" s="70" t="s">
        <v>62</v>
      </c>
      <c r="P6" s="70" t="s">
        <v>117</v>
      </c>
      <c r="R6" s="120" t="s">
        <v>121</v>
      </c>
      <c r="S6" s="116" t="s">
        <v>19</v>
      </c>
      <c r="T6" s="116" t="s">
        <v>58</v>
      </c>
      <c r="U6" s="116" t="s">
        <v>65</v>
      </c>
      <c r="V6" s="71" t="s">
        <v>58</v>
      </c>
      <c r="W6" s="71" t="s">
        <v>65</v>
      </c>
      <c r="X6" s="71" t="s">
        <v>19</v>
      </c>
      <c r="Y6" s="119" t="s">
        <v>121</v>
      </c>
      <c r="Z6" s="117" t="s">
        <v>58</v>
      </c>
      <c r="AA6" s="117" t="s">
        <v>65</v>
      </c>
      <c r="AB6" s="117" t="s">
        <v>19</v>
      </c>
      <c r="AD6" s="70" t="s">
        <v>6</v>
      </c>
      <c r="AE6" s="70" t="s">
        <v>7</v>
      </c>
      <c r="AF6" s="71">
        <v>20</v>
      </c>
      <c r="AM6" s="118"/>
      <c r="AN6" s="83"/>
      <c r="AO6" s="83"/>
      <c r="AP6" s="118"/>
      <c r="AQ6" s="118"/>
      <c r="AS6" s="118" t="s">
        <v>45</v>
      </c>
      <c r="AT6" s="118" t="s">
        <v>110</v>
      </c>
      <c r="AU6" s="108"/>
      <c r="AV6" s="71" t="s">
        <v>44</v>
      </c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</row>
    <row r="7" spans="1:63" ht="16.5" customHeight="1" x14ac:dyDescent="0.25">
      <c r="A7" s="216" t="s">
        <v>12</v>
      </c>
      <c r="B7" s="195"/>
      <c r="C7" s="129"/>
      <c r="D7" s="79">
        <f>IF(C7&gt;T1,T1,C7)</f>
        <v>0</v>
      </c>
      <c r="E7" s="131"/>
      <c r="F7" s="192">
        <f>IF(E7=P1,1,0)</f>
        <v>0</v>
      </c>
      <c r="G7" s="69"/>
      <c r="H7" s="69"/>
      <c r="J7" s="4" t="s">
        <v>57</v>
      </c>
      <c r="K7" s="70" t="e">
        <f>R7+(V2*S2*M7)+(W2*S2*R7)</f>
        <v>#N/A</v>
      </c>
      <c r="L7" s="70" t="e">
        <f>R7+(R7*W2*S2)</f>
        <v>#N/A</v>
      </c>
      <c r="M7" s="113" t="e">
        <f>HLOOKUP(B3,V6:X9,2,FALSE)</f>
        <v>#N/A</v>
      </c>
      <c r="N7" s="119" t="e">
        <f>HLOOKUP(B3,Z6:AB9,2,FALSE)</f>
        <v>#N/A</v>
      </c>
      <c r="O7" s="70">
        <v>20</v>
      </c>
      <c r="P7" s="70">
        <v>20</v>
      </c>
      <c r="R7" s="120" t="e">
        <f>HLOOKUP(B3,S6:U9,2,FALSE)</f>
        <v>#N/A</v>
      </c>
      <c r="S7" s="116">
        <v>30</v>
      </c>
      <c r="T7" s="116">
        <v>375</v>
      </c>
      <c r="U7" s="116">
        <v>390</v>
      </c>
      <c r="V7" s="71">
        <v>75</v>
      </c>
      <c r="W7" s="71">
        <v>375</v>
      </c>
      <c r="X7" s="71">
        <v>0</v>
      </c>
      <c r="Y7" s="119" t="e">
        <f>HLOOKUP(B3,Z6:AB9,2,FALSE)</f>
        <v>#N/A</v>
      </c>
      <c r="Z7" s="117">
        <v>9</v>
      </c>
      <c r="AA7" s="117">
        <v>12</v>
      </c>
      <c r="AB7" s="117">
        <v>9</v>
      </c>
      <c r="AD7" s="70" t="s">
        <v>7</v>
      </c>
      <c r="AE7" s="70" t="s">
        <v>8</v>
      </c>
      <c r="AF7" s="71" t="e">
        <f>VLOOKUP(B1,J7:P9,6,FALSE)</f>
        <v>#N/A</v>
      </c>
      <c r="AL7" s="210" t="s">
        <v>101</v>
      </c>
      <c r="AM7" s="210"/>
      <c r="AN7" s="210"/>
      <c r="AO7" s="210"/>
      <c r="AP7" s="210"/>
      <c r="AQ7" s="210"/>
      <c r="AR7" s="210"/>
      <c r="AS7" s="118">
        <v>15</v>
      </c>
      <c r="AT7" s="145"/>
      <c r="AU7" s="103" t="s">
        <v>111</v>
      </c>
      <c r="AW7" s="79">
        <f t="shared" ref="AW7:AW21" si="0">AS7*AT7</f>
        <v>0</v>
      </c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</row>
    <row r="8" spans="1:63" ht="16.5" customHeight="1" x14ac:dyDescent="0.25">
      <c r="A8" s="216"/>
      <c r="B8" s="78" t="e">
        <f>VLOOKUP(B7,AD3:AE9,2,FALSE)</f>
        <v>#N/A</v>
      </c>
      <c r="C8" s="129"/>
      <c r="D8" s="79">
        <f>IF(C8&gt;T1,T1,C8)</f>
        <v>0</v>
      </c>
      <c r="E8" s="131"/>
      <c r="F8" s="192">
        <f>IF(E8=P1,1,0)</f>
        <v>0</v>
      </c>
      <c r="G8" s="69"/>
      <c r="H8" s="69"/>
      <c r="J8" s="4" t="s">
        <v>55</v>
      </c>
      <c r="K8" s="70" t="e">
        <f>R8+(V2*S2*M8)+(W2*S2*R8)</f>
        <v>#N/A</v>
      </c>
      <c r="L8" s="70" t="e">
        <f>R8+(R8*W2*S2)</f>
        <v>#N/A</v>
      </c>
      <c r="M8" s="113" t="e">
        <f>HLOOKUP(B3,V6:X9,3,FALSE)</f>
        <v>#N/A</v>
      </c>
      <c r="N8" s="119" t="e">
        <f>HLOOKUP(B3,Z6:AB9,3,FALSE)</f>
        <v>#N/A</v>
      </c>
      <c r="O8" s="70">
        <v>20</v>
      </c>
      <c r="P8" s="70">
        <v>20</v>
      </c>
      <c r="R8" s="120" t="e">
        <f>HLOOKUP(B3,S6:U9,3,FALSE)</f>
        <v>#N/A</v>
      </c>
      <c r="S8" s="116">
        <v>30</v>
      </c>
      <c r="T8" s="116">
        <v>570</v>
      </c>
      <c r="U8" s="116">
        <v>1240</v>
      </c>
      <c r="V8" s="71">
        <v>100</v>
      </c>
      <c r="W8" s="71">
        <v>570</v>
      </c>
      <c r="X8" s="71">
        <v>0</v>
      </c>
      <c r="Y8" s="119" t="e">
        <f>HLOOKUP(B3,Z6:AB9,3,FALSE)</f>
        <v>#N/A</v>
      </c>
      <c r="Z8" s="117">
        <v>9</v>
      </c>
      <c r="AA8" s="117">
        <v>12</v>
      </c>
      <c r="AB8" s="117">
        <v>9</v>
      </c>
      <c r="AC8" s="70"/>
      <c r="AD8" s="70" t="s">
        <v>8</v>
      </c>
      <c r="AE8" s="70" t="s">
        <v>9</v>
      </c>
      <c r="AF8" s="70" t="e">
        <f>VLOOKUP(B1,J7:P9,6,FALSE)</f>
        <v>#N/A</v>
      </c>
      <c r="AG8" s="70"/>
      <c r="AH8" s="70"/>
      <c r="AI8" s="70"/>
      <c r="AJ8" s="70"/>
      <c r="AK8" s="70"/>
      <c r="AL8" s="210" t="s">
        <v>71</v>
      </c>
      <c r="AM8" s="210"/>
      <c r="AN8" s="210"/>
      <c r="AO8" s="210"/>
      <c r="AP8" s="210"/>
      <c r="AQ8" s="210"/>
      <c r="AR8" s="210"/>
      <c r="AS8" s="118">
        <v>3</v>
      </c>
      <c r="AT8" s="145"/>
      <c r="AU8" s="103" t="s">
        <v>112</v>
      </c>
      <c r="AW8" s="79">
        <f t="shared" si="0"/>
        <v>0</v>
      </c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</row>
    <row r="9" spans="1:63" ht="16.5" customHeight="1" x14ac:dyDescent="0.25">
      <c r="A9" s="216"/>
      <c r="B9" s="78" t="e">
        <f>VLOOKUP(B8,AD3:AE9,2,FALSE)</f>
        <v>#N/A</v>
      </c>
      <c r="C9" s="129"/>
      <c r="D9" s="79">
        <f>IF(C9&gt;T1,T1,C9)</f>
        <v>0</v>
      </c>
      <c r="E9" s="131"/>
      <c r="F9" s="192">
        <f>IF(E9=P1,1,0)</f>
        <v>0</v>
      </c>
      <c r="G9" s="69"/>
      <c r="H9" s="69"/>
      <c r="J9" s="4" t="s">
        <v>56</v>
      </c>
      <c r="K9" s="70" t="e">
        <f>R9+(V2*S2*M9)+(W2*S2*R9)</f>
        <v>#N/A</v>
      </c>
      <c r="L9" s="70" t="e">
        <f>R9+(R9*W2*S2)</f>
        <v>#N/A</v>
      </c>
      <c r="M9" s="113" t="e">
        <f>HLOOKUP(B3,V6:X9,4,FALSE)</f>
        <v>#N/A</v>
      </c>
      <c r="N9" s="119" t="e">
        <f>HLOOKUP(B3,Z6:AB9,4,FALSE)</f>
        <v>#N/A</v>
      </c>
      <c r="O9" s="70">
        <v>20</v>
      </c>
      <c r="P9" s="70">
        <v>40</v>
      </c>
      <c r="R9" s="120" t="e">
        <f>HLOOKUP(B3,S6:U9,4,FALSE)</f>
        <v>#N/A</v>
      </c>
      <c r="S9" s="116">
        <v>120</v>
      </c>
      <c r="T9" s="116">
        <v>1500</v>
      </c>
      <c r="U9" s="116">
        <v>2500</v>
      </c>
      <c r="V9" s="71">
        <v>125</v>
      </c>
      <c r="W9" s="71">
        <v>1500</v>
      </c>
      <c r="X9" s="71">
        <v>0</v>
      </c>
      <c r="Y9" s="119" t="e">
        <f>HLOOKUP(B3,Z6:AB9,4,FALSE)</f>
        <v>#N/A</v>
      </c>
      <c r="Z9" s="117">
        <v>18</v>
      </c>
      <c r="AA9" s="117">
        <v>24</v>
      </c>
      <c r="AB9" s="117">
        <v>18</v>
      </c>
      <c r="AC9" s="70"/>
      <c r="AD9" s="70" t="s">
        <v>9</v>
      </c>
      <c r="AE9" s="70" t="s">
        <v>3</v>
      </c>
      <c r="AF9" s="70">
        <v>20</v>
      </c>
      <c r="AG9" s="70"/>
      <c r="AH9" s="70"/>
      <c r="AI9" s="70"/>
      <c r="AJ9" s="70"/>
      <c r="AK9" s="70"/>
      <c r="AL9" s="210" t="s">
        <v>102</v>
      </c>
      <c r="AM9" s="210"/>
      <c r="AN9" s="210"/>
      <c r="AO9" s="210"/>
      <c r="AP9" s="210"/>
      <c r="AQ9" s="210"/>
      <c r="AR9" s="210"/>
      <c r="AS9" s="118">
        <v>15</v>
      </c>
      <c r="AT9" s="145"/>
      <c r="AU9" s="103" t="s">
        <v>111</v>
      </c>
      <c r="AW9" s="79">
        <f t="shared" si="0"/>
        <v>0</v>
      </c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</row>
    <row r="10" spans="1:63" ht="16.5" customHeight="1" x14ac:dyDescent="0.25">
      <c r="A10" s="216"/>
      <c r="B10" s="78" t="e">
        <f>VLOOKUP(B9,AD3:AE9,2,FALSE)</f>
        <v>#N/A</v>
      </c>
      <c r="C10" s="129"/>
      <c r="D10" s="79">
        <f>IF(C10&gt;T1,T1,C10)</f>
        <v>0</v>
      </c>
      <c r="E10" s="131"/>
      <c r="F10" s="192">
        <f>IF(E10=P1,1,0)</f>
        <v>0</v>
      </c>
      <c r="G10" s="69"/>
      <c r="H10" s="69"/>
      <c r="L10" s="113"/>
      <c r="AL10" s="210" t="s">
        <v>103</v>
      </c>
      <c r="AM10" s="210"/>
      <c r="AN10" s="210"/>
      <c r="AO10" s="210"/>
      <c r="AP10" s="210"/>
      <c r="AQ10" s="210"/>
      <c r="AR10" s="210"/>
      <c r="AS10" s="118">
        <v>5</v>
      </c>
      <c r="AT10" s="145"/>
      <c r="AU10" s="146" t="s">
        <v>113</v>
      </c>
      <c r="AW10" s="79">
        <f t="shared" si="0"/>
        <v>0</v>
      </c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</row>
    <row r="11" spans="1:63" ht="16.5" customHeight="1" x14ac:dyDescent="0.25">
      <c r="A11" s="216"/>
      <c r="B11" s="78" t="e">
        <f>VLOOKUP(B10,AD3:AE9,2,FALSE)</f>
        <v>#N/A</v>
      </c>
      <c r="C11" s="129"/>
      <c r="D11" s="79">
        <f>IF(C11&gt;T1,T1,C11)</f>
        <v>0</v>
      </c>
      <c r="E11" s="131"/>
      <c r="F11" s="192">
        <f>IF(E11=P1,1,0)</f>
        <v>0</v>
      </c>
      <c r="G11" s="69"/>
      <c r="H11" s="69"/>
      <c r="J11" s="114" t="s">
        <v>64</v>
      </c>
      <c r="K11" s="113" t="s">
        <v>1</v>
      </c>
      <c r="L11" s="70" t="s">
        <v>120</v>
      </c>
      <c r="M11" s="121" t="s">
        <v>118</v>
      </c>
      <c r="N11" s="70" t="s">
        <v>2</v>
      </c>
      <c r="O11" s="70" t="s">
        <v>62</v>
      </c>
      <c r="P11" s="70" t="s">
        <v>117</v>
      </c>
      <c r="AL11" s="210" t="s">
        <v>104</v>
      </c>
      <c r="AM11" s="210"/>
      <c r="AN11" s="210"/>
      <c r="AO11" s="210"/>
      <c r="AP11" s="210"/>
      <c r="AQ11" s="210"/>
      <c r="AR11" s="210"/>
      <c r="AS11" s="118">
        <v>25</v>
      </c>
      <c r="AT11" s="145"/>
      <c r="AU11" s="103" t="s">
        <v>111</v>
      </c>
      <c r="AW11" s="79">
        <f t="shared" si="0"/>
        <v>0</v>
      </c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</row>
    <row r="12" spans="1:63" ht="16.5" customHeight="1" x14ac:dyDescent="0.25">
      <c r="A12" s="216"/>
      <c r="B12" s="78" t="e">
        <f>VLOOKUP(B11,AD3:AE9,2,FALSE)</f>
        <v>#N/A</v>
      </c>
      <c r="C12" s="129"/>
      <c r="D12" s="79">
        <f>IF(C12&gt;T1,T1,C12)</f>
        <v>0</v>
      </c>
      <c r="E12" s="131"/>
      <c r="F12" s="192">
        <f>IF(E12=P1,1,0)</f>
        <v>0</v>
      </c>
      <c r="G12" s="69"/>
      <c r="H12" s="69"/>
      <c r="J12" s="4" t="s">
        <v>57</v>
      </c>
      <c r="K12" s="70">
        <f>225+(S2*M12)</f>
        <v>225</v>
      </c>
      <c r="L12" s="70">
        <f>225*S1</f>
        <v>225</v>
      </c>
      <c r="M12" s="71">
        <v>225</v>
      </c>
      <c r="N12" s="70">
        <v>9</v>
      </c>
      <c r="O12" s="70">
        <v>20</v>
      </c>
      <c r="P12" s="70">
        <v>20</v>
      </c>
      <c r="AL12" s="210" t="s">
        <v>105</v>
      </c>
      <c r="AM12" s="210"/>
      <c r="AN12" s="210"/>
      <c r="AO12" s="210"/>
      <c r="AP12" s="210"/>
      <c r="AQ12" s="210"/>
      <c r="AR12" s="210"/>
      <c r="AS12" s="118">
        <v>25</v>
      </c>
      <c r="AT12" s="145"/>
      <c r="AU12" s="103" t="s">
        <v>111</v>
      </c>
      <c r="AW12" s="79">
        <f t="shared" si="0"/>
        <v>0</v>
      </c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</row>
    <row r="13" spans="1:63" ht="16.5" customHeight="1" x14ac:dyDescent="0.25">
      <c r="A13" s="216"/>
      <c r="B13" s="78" t="e">
        <f>VLOOKUP(B12,AD3:AE9,2,FALSE)</f>
        <v>#N/A</v>
      </c>
      <c r="C13" s="129"/>
      <c r="D13" s="79">
        <f>IF(C13&gt;T1,T1,C13)</f>
        <v>0</v>
      </c>
      <c r="E13" s="131"/>
      <c r="F13" s="192">
        <f>IF(E13=P1,1,0)</f>
        <v>0</v>
      </c>
      <c r="G13" s="69"/>
      <c r="H13" s="69"/>
      <c r="J13" s="4" t="s">
        <v>55</v>
      </c>
      <c r="K13" s="70">
        <f>420+(S2*M13)</f>
        <v>420</v>
      </c>
      <c r="L13" s="70">
        <f>420*S1</f>
        <v>420</v>
      </c>
      <c r="M13" s="71">
        <v>420</v>
      </c>
      <c r="N13" s="70">
        <v>9</v>
      </c>
      <c r="O13" s="70">
        <v>20</v>
      </c>
      <c r="P13" s="70">
        <v>20</v>
      </c>
      <c r="AL13" s="210" t="s">
        <v>73</v>
      </c>
      <c r="AM13" s="210"/>
      <c r="AN13" s="210"/>
      <c r="AO13" s="210"/>
      <c r="AP13" s="210"/>
      <c r="AQ13" s="210"/>
      <c r="AR13" s="210"/>
      <c r="AS13" s="118">
        <v>3</v>
      </c>
      <c r="AT13" s="145"/>
      <c r="AU13" s="103" t="s">
        <v>112</v>
      </c>
      <c r="AW13" s="79">
        <f t="shared" si="0"/>
        <v>0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</row>
    <row r="14" spans="1:63" ht="16.5" customHeight="1" x14ac:dyDescent="0.25">
      <c r="A14" s="216"/>
      <c r="B14" s="78" t="e">
        <f>VLOOKUP(B13,AD3:AE9,2,FALSE)</f>
        <v>#N/A</v>
      </c>
      <c r="C14" s="129"/>
      <c r="D14" s="79">
        <f>IF(C14&gt;T1,T1,C14)</f>
        <v>0</v>
      </c>
      <c r="E14" s="131"/>
      <c r="F14" s="192">
        <f>IF(E14=P1,1,0)</f>
        <v>0</v>
      </c>
      <c r="G14" s="69"/>
      <c r="H14" s="69"/>
      <c r="J14" s="4" t="s">
        <v>56</v>
      </c>
      <c r="K14" s="70">
        <f>600+(S2*M14)</f>
        <v>600</v>
      </c>
      <c r="L14" s="70">
        <f>600*S1</f>
        <v>600</v>
      </c>
      <c r="M14" s="71">
        <v>600</v>
      </c>
      <c r="N14" s="70">
        <v>18</v>
      </c>
      <c r="O14" s="70">
        <v>20</v>
      </c>
      <c r="P14" s="70">
        <v>40</v>
      </c>
      <c r="AL14" s="210" t="s">
        <v>74</v>
      </c>
      <c r="AM14" s="210"/>
      <c r="AN14" s="210"/>
      <c r="AO14" s="210"/>
      <c r="AP14" s="210"/>
      <c r="AQ14" s="210"/>
      <c r="AR14" s="210"/>
      <c r="AS14" s="118">
        <v>7</v>
      </c>
      <c r="AT14" s="145"/>
      <c r="AU14" s="103" t="s">
        <v>112</v>
      </c>
      <c r="AW14" s="79">
        <f t="shared" si="0"/>
        <v>0</v>
      </c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</row>
    <row r="15" spans="1:63" ht="16.5" customHeight="1" thickBot="1" x14ac:dyDescent="0.3">
      <c r="A15" s="216"/>
      <c r="B15" s="88" t="e">
        <f>VLOOKUP(B14,AD3:AE9,2,FALSE)</f>
        <v>#N/A</v>
      </c>
      <c r="C15" s="130"/>
      <c r="D15" s="82">
        <f>IF(C15&gt;T1,T1,C15)</f>
        <v>0</v>
      </c>
      <c r="E15" s="132"/>
      <c r="F15" s="192">
        <f>IF(E15=P1,1,0)</f>
        <v>0</v>
      </c>
      <c r="G15" s="69"/>
      <c r="H15" s="69"/>
      <c r="J15" s="71"/>
      <c r="K15" s="75"/>
      <c r="M15" s="71"/>
      <c r="N15" s="71"/>
      <c r="O15" s="71"/>
      <c r="P15" s="71"/>
      <c r="AL15" s="210" t="s">
        <v>76</v>
      </c>
      <c r="AM15" s="210"/>
      <c r="AN15" s="210"/>
      <c r="AO15" s="210"/>
      <c r="AP15" s="210"/>
      <c r="AQ15" s="210"/>
      <c r="AR15" s="210"/>
      <c r="AS15" s="118">
        <v>7</v>
      </c>
      <c r="AT15" s="145"/>
      <c r="AU15" s="103" t="s">
        <v>112</v>
      </c>
      <c r="AW15" s="79">
        <f t="shared" si="0"/>
        <v>0</v>
      </c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</row>
    <row r="16" spans="1:63" ht="16.5" customHeight="1" x14ac:dyDescent="0.3">
      <c r="C16" s="184" t="s">
        <v>128</v>
      </c>
      <c r="D16" s="199">
        <f>SUM(D7:D13)</f>
        <v>0</v>
      </c>
      <c r="E16" s="127">
        <f>SUM(F7:F15)</f>
        <v>0</v>
      </c>
      <c r="F16" s="80"/>
      <c r="G16" s="69"/>
      <c r="H16" s="69"/>
      <c r="K16" s="70" t="s">
        <v>1</v>
      </c>
      <c r="L16" s="113" t="s">
        <v>120</v>
      </c>
      <c r="M16" s="122" t="s">
        <v>118</v>
      </c>
      <c r="AL16" s="210" t="s">
        <v>77</v>
      </c>
      <c r="AM16" s="210"/>
      <c r="AN16" s="210"/>
      <c r="AO16" s="210"/>
      <c r="AP16" s="210"/>
      <c r="AQ16" s="210"/>
      <c r="AR16" s="210"/>
      <c r="AS16" s="118">
        <v>2</v>
      </c>
      <c r="AT16" s="145"/>
      <c r="AU16" s="103" t="s">
        <v>112</v>
      </c>
      <c r="AW16" s="79">
        <f t="shared" si="0"/>
        <v>0</v>
      </c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</row>
    <row r="17" spans="1:74" ht="16.5" customHeight="1" thickBot="1" x14ac:dyDescent="0.3">
      <c r="A17" s="107"/>
      <c r="G17" s="69"/>
      <c r="H17" s="69"/>
      <c r="J17" s="70" t="s">
        <v>63</v>
      </c>
      <c r="K17" s="70" t="e">
        <f>VLOOKUP(B1,J7:Y9,2,FALSE)</f>
        <v>#N/A</v>
      </c>
      <c r="L17" s="70" t="e">
        <f>VLOOKUP(B1,J7:Y9,3,FALSE)</f>
        <v>#N/A</v>
      </c>
      <c r="M17" s="70" t="e">
        <f>VLOOKUP(B1,J7:Y9,4,FALSE)</f>
        <v>#N/A</v>
      </c>
      <c r="N17" s="70" t="e">
        <f>VLOOKUP(B1,J7:N9,5,FALSE)</f>
        <v>#N/A</v>
      </c>
      <c r="O17" s="70">
        <f>R2*S2</f>
        <v>0</v>
      </c>
      <c r="AL17" s="210" t="s">
        <v>78</v>
      </c>
      <c r="AM17" s="210"/>
      <c r="AN17" s="210"/>
      <c r="AO17" s="210"/>
      <c r="AP17" s="210"/>
      <c r="AQ17" s="210"/>
      <c r="AR17" s="210"/>
      <c r="AS17" s="118">
        <v>3</v>
      </c>
      <c r="AT17" s="145"/>
      <c r="AU17" s="103" t="s">
        <v>112</v>
      </c>
      <c r="AW17" s="79">
        <f t="shared" si="0"/>
        <v>0</v>
      </c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</row>
    <row r="18" spans="1:74" ht="16.5" customHeight="1" x14ac:dyDescent="0.25">
      <c r="A18" s="106"/>
      <c r="B18" s="76" t="s">
        <v>48</v>
      </c>
      <c r="C18" s="77" t="s">
        <v>10</v>
      </c>
      <c r="D18" s="128" t="s">
        <v>127</v>
      </c>
      <c r="E18" s="84" t="s">
        <v>10</v>
      </c>
      <c r="F18" s="85" t="s">
        <v>61</v>
      </c>
      <c r="G18" s="87" t="s">
        <v>70</v>
      </c>
      <c r="H18" s="69"/>
      <c r="J18" s="70" t="s">
        <v>64</v>
      </c>
      <c r="K18" s="136" t="e">
        <f>VLOOKUP(B1,J12:Y14,2,FALSE)</f>
        <v>#N/A</v>
      </c>
      <c r="L18" s="136" t="e">
        <f>VLOOKUP(B1,J12:Y14,3,FALSE)</f>
        <v>#N/A</v>
      </c>
      <c r="M18" s="136" t="e">
        <f>VLOOKUP(B1,J12:Y14,4,FALSE)</f>
        <v>#N/A</v>
      </c>
      <c r="N18" s="136" t="e">
        <f>VLOOKUP(B1,J12:N14,5,FALSE)</f>
        <v>#N/A</v>
      </c>
      <c r="AL18" s="210" t="s">
        <v>79</v>
      </c>
      <c r="AM18" s="210"/>
      <c r="AN18" s="210"/>
      <c r="AO18" s="210"/>
      <c r="AP18" s="210"/>
      <c r="AQ18" s="210"/>
      <c r="AR18" s="210"/>
      <c r="AS18" s="73">
        <v>10</v>
      </c>
      <c r="AT18" s="145"/>
      <c r="AU18" s="103" t="s">
        <v>112</v>
      </c>
      <c r="AW18" s="79">
        <f t="shared" si="0"/>
        <v>0</v>
      </c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</row>
    <row r="19" spans="1:74" ht="16.5" customHeight="1" x14ac:dyDescent="0.25">
      <c r="A19" s="216" t="s">
        <v>13</v>
      </c>
      <c r="B19" s="78">
        <f t="shared" ref="B19:B27" si="1">B7</f>
        <v>0</v>
      </c>
      <c r="C19" s="139"/>
      <c r="D19" s="139">
        <v>1</v>
      </c>
      <c r="E19" s="79">
        <f t="shared" ref="E19:E28" si="2">C19*D19</f>
        <v>0</v>
      </c>
      <c r="F19" s="86" t="e">
        <f>VLOOKUP(B19,AD3:AF9,3,FALSE)</f>
        <v>#N/A</v>
      </c>
      <c r="G19" s="73" t="e">
        <f>E19*F19</f>
        <v>#N/A</v>
      </c>
      <c r="H19" s="69"/>
      <c r="K19" s="70" t="e">
        <f>VLOOKUP(B2,J17:L18,3,FALSE)</f>
        <v>#N/A</v>
      </c>
      <c r="AL19" s="210" t="s">
        <v>80</v>
      </c>
      <c r="AM19" s="210"/>
      <c r="AN19" s="210"/>
      <c r="AO19" s="210"/>
      <c r="AP19" s="210"/>
      <c r="AQ19" s="210"/>
      <c r="AR19" s="210"/>
      <c r="AS19" s="73">
        <v>5</v>
      </c>
      <c r="AT19" s="145"/>
      <c r="AU19" s="103" t="s">
        <v>112</v>
      </c>
      <c r="AW19" s="79">
        <f t="shared" si="0"/>
        <v>0</v>
      </c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</row>
    <row r="20" spans="1:74" ht="16.5" customHeight="1" x14ac:dyDescent="0.25">
      <c r="A20" s="216"/>
      <c r="B20" s="78" t="e">
        <f t="shared" si="1"/>
        <v>#N/A</v>
      </c>
      <c r="C20" s="139"/>
      <c r="D20" s="139">
        <v>1</v>
      </c>
      <c r="E20" s="79">
        <f t="shared" si="2"/>
        <v>0</v>
      </c>
      <c r="F20" s="86" t="e">
        <f>VLOOKUP(B20,AD3:AF9,3,FALSE)</f>
        <v>#N/A</v>
      </c>
      <c r="G20" s="73" t="e">
        <f t="shared" ref="G20:G25" si="3">E20*F20</f>
        <v>#N/A</v>
      </c>
      <c r="H20" s="69"/>
      <c r="AL20" s="210" t="s">
        <v>81</v>
      </c>
      <c r="AM20" s="210"/>
      <c r="AN20" s="210"/>
      <c r="AO20" s="210"/>
      <c r="AP20" s="210"/>
      <c r="AQ20" s="210"/>
      <c r="AR20" s="210"/>
      <c r="AS20" s="73">
        <v>5</v>
      </c>
      <c r="AT20" s="145"/>
      <c r="AU20" s="103" t="s">
        <v>112</v>
      </c>
      <c r="AW20" s="79">
        <f t="shared" si="0"/>
        <v>0</v>
      </c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</row>
    <row r="21" spans="1:74" ht="16.5" customHeight="1" x14ac:dyDescent="0.25">
      <c r="A21" s="216"/>
      <c r="B21" s="78" t="e">
        <f t="shared" si="1"/>
        <v>#N/A</v>
      </c>
      <c r="C21" s="139"/>
      <c r="D21" s="139">
        <v>1</v>
      </c>
      <c r="E21" s="79">
        <f t="shared" si="2"/>
        <v>0</v>
      </c>
      <c r="F21" s="86" t="e">
        <f>VLOOKUP(B21,AD3:AF9,3,FALSE)</f>
        <v>#N/A</v>
      </c>
      <c r="G21" s="73" t="e">
        <f t="shared" si="3"/>
        <v>#N/A</v>
      </c>
      <c r="H21" s="69"/>
      <c r="AL21" s="210" t="s">
        <v>82</v>
      </c>
      <c r="AM21" s="210"/>
      <c r="AN21" s="210"/>
      <c r="AO21" s="210"/>
      <c r="AP21" s="210"/>
      <c r="AQ21" s="210"/>
      <c r="AR21" s="210"/>
      <c r="AS21" s="73">
        <v>2</v>
      </c>
      <c r="AT21" s="145"/>
      <c r="AU21" s="103" t="s">
        <v>112</v>
      </c>
      <c r="AW21" s="79">
        <f t="shared" si="0"/>
        <v>0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</row>
    <row r="22" spans="1:74" ht="16.5" customHeight="1" x14ac:dyDescent="0.25">
      <c r="A22" s="216"/>
      <c r="B22" s="78" t="e">
        <f t="shared" si="1"/>
        <v>#N/A</v>
      </c>
      <c r="C22" s="139"/>
      <c r="D22" s="139">
        <v>1</v>
      </c>
      <c r="E22" s="79">
        <f t="shared" si="2"/>
        <v>0</v>
      </c>
      <c r="F22" s="86" t="e">
        <f>VLOOKUP(B22,AD3:AF9,3,FALSE)</f>
        <v>#N/A</v>
      </c>
      <c r="G22" s="73" t="e">
        <f t="shared" si="3"/>
        <v>#N/A</v>
      </c>
      <c r="H22" s="69"/>
      <c r="AL22" s="210" t="s">
        <v>106</v>
      </c>
      <c r="AM22" s="210"/>
      <c r="AN22" s="210"/>
      <c r="AO22" s="210"/>
      <c r="AP22" s="210"/>
      <c r="AQ22" s="210"/>
      <c r="AR22" s="210"/>
      <c r="AS22" s="73">
        <v>15</v>
      </c>
      <c r="AT22" s="145"/>
      <c r="AU22" s="103" t="s">
        <v>114</v>
      </c>
      <c r="AV22" s="109"/>
      <c r="AW22" s="79">
        <f>AS22*AT22*AV22</f>
        <v>0</v>
      </c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</row>
    <row r="23" spans="1:74" ht="16.5" customHeight="1" x14ac:dyDescent="0.25">
      <c r="A23" s="216"/>
      <c r="B23" s="78" t="e">
        <f t="shared" si="1"/>
        <v>#N/A</v>
      </c>
      <c r="C23" s="139"/>
      <c r="D23" s="139">
        <v>1</v>
      </c>
      <c r="E23" s="79">
        <f t="shared" si="2"/>
        <v>0</v>
      </c>
      <c r="F23" s="86" t="e">
        <f>VLOOKUP(B23,AD3:AF9,3,FALSE)</f>
        <v>#N/A</v>
      </c>
      <c r="G23" s="73" t="e">
        <f t="shared" si="3"/>
        <v>#N/A</v>
      </c>
      <c r="H23" s="69"/>
      <c r="AL23" s="210" t="s">
        <v>85</v>
      </c>
      <c r="AM23" s="210"/>
      <c r="AN23" s="210"/>
      <c r="AO23" s="210"/>
      <c r="AP23" s="210"/>
      <c r="AQ23" s="210"/>
      <c r="AR23" s="210"/>
      <c r="AS23" s="73">
        <v>10</v>
      </c>
      <c r="AT23" s="145"/>
      <c r="AU23" s="103" t="s">
        <v>114</v>
      </c>
      <c r="AV23" s="109"/>
      <c r="AW23" s="79">
        <f>AS23*AT23*AV23</f>
        <v>0</v>
      </c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</row>
    <row r="24" spans="1:74" ht="16.5" customHeight="1" x14ac:dyDescent="0.25">
      <c r="A24" s="216"/>
      <c r="B24" s="78" t="e">
        <f t="shared" si="1"/>
        <v>#N/A</v>
      </c>
      <c r="C24" s="139"/>
      <c r="D24" s="139">
        <v>1</v>
      </c>
      <c r="E24" s="79">
        <f t="shared" si="2"/>
        <v>0</v>
      </c>
      <c r="F24" s="86" t="e">
        <f>VLOOKUP(B24,AD3:AF9,3,FALSE)</f>
        <v>#N/A</v>
      </c>
      <c r="G24" s="73" t="e">
        <f t="shared" si="3"/>
        <v>#N/A</v>
      </c>
      <c r="H24" s="69"/>
      <c r="AL24" s="210" t="s">
        <v>87</v>
      </c>
      <c r="AM24" s="210"/>
      <c r="AN24" s="210"/>
      <c r="AO24" s="210"/>
      <c r="AP24" s="210"/>
      <c r="AQ24" s="210"/>
      <c r="AR24" s="210"/>
      <c r="AS24" s="73">
        <v>5</v>
      </c>
      <c r="AT24" s="145"/>
      <c r="AU24" s="103" t="s">
        <v>114</v>
      </c>
      <c r="AV24" s="109"/>
      <c r="AW24" s="79">
        <f>AS24*AT24*AV24</f>
        <v>0</v>
      </c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</row>
    <row r="25" spans="1:74" ht="16.5" customHeight="1" x14ac:dyDescent="0.25">
      <c r="A25" s="216"/>
      <c r="B25" s="78" t="e">
        <f t="shared" si="1"/>
        <v>#N/A</v>
      </c>
      <c r="C25" s="139"/>
      <c r="D25" s="139">
        <v>1</v>
      </c>
      <c r="E25" s="79">
        <f t="shared" si="2"/>
        <v>0</v>
      </c>
      <c r="F25" s="86" t="e">
        <f>VLOOKUP(B25,AD3:AF9,3,FALSE)</f>
        <v>#N/A</v>
      </c>
      <c r="G25" s="73" t="e">
        <f t="shared" si="3"/>
        <v>#N/A</v>
      </c>
      <c r="H25" s="69"/>
      <c r="AL25" s="210" t="s">
        <v>89</v>
      </c>
      <c r="AM25" s="210"/>
      <c r="AN25" s="210"/>
      <c r="AO25" s="210"/>
      <c r="AP25" s="210"/>
      <c r="AQ25" s="210"/>
      <c r="AR25" s="210"/>
      <c r="AS25" s="73">
        <v>3</v>
      </c>
      <c r="AT25" s="145"/>
      <c r="AU25" s="103" t="s">
        <v>112</v>
      </c>
      <c r="AW25" s="79">
        <f>AS25*AT25</f>
        <v>0</v>
      </c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</row>
    <row r="26" spans="1:74" ht="16.5" customHeight="1" x14ac:dyDescent="0.25">
      <c r="A26" s="216"/>
      <c r="B26" s="78" t="e">
        <f t="shared" si="1"/>
        <v>#N/A</v>
      </c>
      <c r="C26" s="139"/>
      <c r="D26" s="139">
        <v>1</v>
      </c>
      <c r="E26" s="79">
        <f t="shared" si="2"/>
        <v>0</v>
      </c>
      <c r="F26" s="86" t="e">
        <f>VLOOKUP(B26,AD3:AF9,3,FALSE)</f>
        <v>#N/A</v>
      </c>
      <c r="G26" s="73" t="e">
        <f t="shared" ref="G26:G27" si="4">E26*F26</f>
        <v>#N/A</v>
      </c>
      <c r="H26" s="69"/>
      <c r="AL26" s="210" t="s">
        <v>90</v>
      </c>
      <c r="AM26" s="210"/>
      <c r="AN26" s="210"/>
      <c r="AO26" s="210"/>
      <c r="AP26" s="210"/>
      <c r="AQ26" s="210"/>
      <c r="AR26" s="210"/>
      <c r="AS26" s="73">
        <v>15</v>
      </c>
      <c r="AT26" s="145"/>
      <c r="AU26" s="103" t="s">
        <v>112</v>
      </c>
      <c r="AW26" s="79">
        <f>AS26*AT26</f>
        <v>0</v>
      </c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</row>
    <row r="27" spans="1:74" ht="16.5" customHeight="1" thickBot="1" x14ac:dyDescent="0.3">
      <c r="A27" s="216"/>
      <c r="B27" s="88" t="e">
        <f t="shared" si="1"/>
        <v>#N/A</v>
      </c>
      <c r="C27" s="139"/>
      <c r="D27" s="139">
        <v>1</v>
      </c>
      <c r="E27" s="79">
        <f t="shared" si="2"/>
        <v>0</v>
      </c>
      <c r="F27" s="86" t="e">
        <f>VLOOKUP(B27,AD3:AF9,3,FALSE)</f>
        <v>#N/A</v>
      </c>
      <c r="G27" s="73" t="e">
        <f t="shared" si="4"/>
        <v>#N/A</v>
      </c>
      <c r="H27" s="69"/>
      <c r="AL27" s="210" t="s">
        <v>131</v>
      </c>
      <c r="AM27" s="210"/>
      <c r="AN27" s="210"/>
      <c r="AO27" s="210"/>
      <c r="AP27" s="210"/>
      <c r="AQ27" s="210"/>
      <c r="AR27" s="210"/>
      <c r="AS27" s="73">
        <v>10</v>
      </c>
      <c r="AT27" s="145"/>
      <c r="AU27" s="103" t="s">
        <v>114</v>
      </c>
      <c r="AV27" s="109"/>
      <c r="AW27" s="79">
        <f>AS27*AT27*AV27</f>
        <v>0</v>
      </c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</row>
    <row r="28" spans="1:74" ht="16.5" customHeight="1" thickBot="1" x14ac:dyDescent="0.3">
      <c r="B28" s="201" t="s">
        <v>161</v>
      </c>
      <c r="C28" s="202"/>
      <c r="D28" s="200">
        <v>1</v>
      </c>
      <c r="E28" s="82">
        <f t="shared" si="2"/>
        <v>0</v>
      </c>
      <c r="F28" s="89" t="e">
        <f>F25-20</f>
        <v>#N/A</v>
      </c>
      <c r="G28" s="73" t="e">
        <f>E28*F28</f>
        <v>#N/A</v>
      </c>
      <c r="H28" s="69"/>
      <c r="AL28" s="210" t="s">
        <v>107</v>
      </c>
      <c r="AM28" s="210"/>
      <c r="AN28" s="210"/>
      <c r="AO28" s="210"/>
      <c r="AP28" s="210"/>
      <c r="AQ28" s="210"/>
      <c r="AR28" s="210"/>
      <c r="AS28" s="73">
        <v>25</v>
      </c>
      <c r="AT28" s="145"/>
      <c r="AU28" s="103" t="s">
        <v>114</v>
      </c>
      <c r="AV28" s="109"/>
      <c r="AW28" s="79">
        <f>AS28*AT28*AV28</f>
        <v>0</v>
      </c>
      <c r="AX28" s="110">
        <f>IF(AT29&gt;0,1,0)</f>
        <v>0</v>
      </c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</row>
    <row r="29" spans="1:74" ht="16.5" customHeight="1" x14ac:dyDescent="0.25">
      <c r="A29" s="69"/>
      <c r="B29" s="73"/>
      <c r="C29" s="74"/>
      <c r="D29" s="74"/>
      <c r="E29" s="73"/>
      <c r="F29" s="73" t="s">
        <v>18</v>
      </c>
      <c r="G29" s="149" t="e">
        <f>SUM(G19:G28)</f>
        <v>#N/A</v>
      </c>
      <c r="H29" s="69"/>
      <c r="AD29" s="81"/>
      <c r="AL29" s="210" t="s">
        <v>108</v>
      </c>
      <c r="AM29" s="210"/>
      <c r="AN29" s="210"/>
      <c r="AO29" s="210"/>
      <c r="AP29" s="210"/>
      <c r="AQ29" s="210"/>
      <c r="AR29" s="210"/>
      <c r="AS29" s="73">
        <v>100</v>
      </c>
      <c r="AT29" s="145"/>
      <c r="AU29" s="103" t="s">
        <v>114</v>
      </c>
      <c r="AV29" s="109"/>
      <c r="AW29" s="79">
        <f>AS29*AT29*AV29+80*AX28</f>
        <v>0</v>
      </c>
      <c r="AX29" s="71" t="s">
        <v>98</v>
      </c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</row>
    <row r="30" spans="1:74" ht="15.75" x14ac:dyDescent="0.25">
      <c r="A30" s="69"/>
      <c r="B30" s="73"/>
      <c r="C30" s="74"/>
      <c r="D30" s="74"/>
      <c r="E30" s="73"/>
      <c r="F30" s="73"/>
      <c r="G30" s="69"/>
      <c r="H30" s="69"/>
      <c r="AA30" s="72"/>
      <c r="AB30" s="90"/>
      <c r="AC30" s="90"/>
      <c r="AD30" s="90"/>
      <c r="AE30" s="90"/>
      <c r="AF30" s="91"/>
      <c r="AG30" s="90"/>
      <c r="AH30" s="90"/>
      <c r="AI30" s="90"/>
      <c r="AL30" s="210" t="s">
        <v>109</v>
      </c>
      <c r="AM30" s="210"/>
      <c r="AN30" s="210"/>
      <c r="AO30" s="210"/>
      <c r="AP30" s="210"/>
      <c r="AQ30" s="210"/>
      <c r="AR30" s="210"/>
      <c r="AS30" s="73">
        <v>10</v>
      </c>
      <c r="AT30" s="145"/>
      <c r="AU30" s="103" t="s">
        <v>114</v>
      </c>
      <c r="AV30" s="109"/>
      <c r="AW30" s="79">
        <f>AS30*AT30*AV30</f>
        <v>0</v>
      </c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</row>
    <row r="31" spans="1:74" ht="21" x14ac:dyDescent="0.35">
      <c r="A31" s="93" t="s">
        <v>11</v>
      </c>
      <c r="B31" s="94" t="e">
        <f>K19+O17*M17</f>
        <v>#N/A</v>
      </c>
      <c r="C31" s="135" t="s">
        <v>45</v>
      </c>
      <c r="D31" s="74"/>
      <c r="E31" s="73"/>
      <c r="F31" s="73"/>
      <c r="G31" s="69"/>
      <c r="H31" s="69"/>
      <c r="AM31" s="118"/>
      <c r="AN31" s="83"/>
      <c r="AO31" s="83"/>
      <c r="AP31" s="118"/>
      <c r="AQ31" s="118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V31" s="108"/>
    </row>
    <row r="32" spans="1:74" s="75" customFormat="1" ht="21" x14ac:dyDescent="0.35">
      <c r="A32" s="137"/>
      <c r="B32" s="138"/>
      <c r="C32" s="135"/>
      <c r="D32" s="74"/>
      <c r="E32" s="73"/>
      <c r="F32" s="73"/>
      <c r="G32" s="69"/>
      <c r="H32" s="69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T32" s="141"/>
    </row>
    <row r="33" spans="1:41" ht="21" x14ac:dyDescent="0.35">
      <c r="A33" s="137" t="s">
        <v>129</v>
      </c>
      <c r="B33" s="150" t="e">
        <f>VLOOKUP(B2,J17:K18,2,FALSE)</f>
        <v>#N/A</v>
      </c>
      <c r="C33" s="135" t="s">
        <v>45</v>
      </c>
      <c r="D33" s="74"/>
      <c r="E33" s="73"/>
      <c r="F33" s="73"/>
      <c r="G33" s="69"/>
      <c r="H33" s="69"/>
    </row>
    <row r="34" spans="1:41" ht="18.75" x14ac:dyDescent="0.3">
      <c r="A34" s="111" t="s">
        <v>14</v>
      </c>
      <c r="B34" s="203" t="e">
        <f>D16*D5</f>
        <v>#N/A</v>
      </c>
      <c r="C34" s="135" t="s">
        <v>45</v>
      </c>
      <c r="D34" s="74"/>
      <c r="E34" s="73"/>
      <c r="F34" s="73"/>
      <c r="G34" s="69"/>
      <c r="H34" s="69"/>
      <c r="AG34" s="90"/>
    </row>
    <row r="35" spans="1:41" ht="18.75" x14ac:dyDescent="0.3">
      <c r="A35" s="111" t="s">
        <v>67</v>
      </c>
      <c r="B35" s="152" t="e">
        <f>G29</f>
        <v>#N/A</v>
      </c>
      <c r="C35" s="135" t="s">
        <v>45</v>
      </c>
      <c r="D35" s="74"/>
      <c r="E35" s="73"/>
      <c r="F35" s="73"/>
      <c r="G35" s="69"/>
      <c r="H35" s="69"/>
    </row>
    <row r="36" spans="1:41" ht="18.75" x14ac:dyDescent="0.3">
      <c r="A36" s="111" t="s">
        <v>68</v>
      </c>
      <c r="B36" s="145">
        <f>SUM(AW7:AW30)</f>
        <v>0</v>
      </c>
      <c r="C36" s="135" t="s">
        <v>45</v>
      </c>
      <c r="D36" s="74"/>
      <c r="E36" s="73"/>
      <c r="F36" s="73"/>
      <c r="G36" s="69"/>
      <c r="H36" s="69"/>
      <c r="AG36" s="90"/>
    </row>
    <row r="37" spans="1:41" ht="21" x14ac:dyDescent="0.35">
      <c r="A37" s="93" t="s">
        <v>122</v>
      </c>
      <c r="B37" s="94" t="e">
        <f>SUM(B33:B36)</f>
        <v>#N/A</v>
      </c>
      <c r="C37" s="135" t="s">
        <v>45</v>
      </c>
      <c r="D37" s="74"/>
      <c r="E37" s="73"/>
      <c r="F37" s="73"/>
      <c r="G37" s="69"/>
      <c r="H37" s="69"/>
    </row>
    <row r="38" spans="1:41" ht="21" x14ac:dyDescent="0.35">
      <c r="A38" s="93" t="s">
        <v>130</v>
      </c>
      <c r="B38" s="94" t="e">
        <f>B31</f>
        <v>#N/A</v>
      </c>
      <c r="C38" s="135"/>
      <c r="D38" s="74"/>
      <c r="E38" s="73"/>
      <c r="F38" s="73"/>
      <c r="G38" s="69"/>
      <c r="H38" s="69"/>
    </row>
    <row r="39" spans="1:41" ht="21" x14ac:dyDescent="0.35">
      <c r="A39" s="124" t="s">
        <v>69</v>
      </c>
      <c r="B39" s="125" t="e">
        <f>B37-B31</f>
        <v>#N/A</v>
      </c>
      <c r="C39" s="135" t="s">
        <v>45</v>
      </c>
      <c r="D39" s="74"/>
      <c r="E39" s="73"/>
      <c r="F39" s="73"/>
      <c r="G39" s="69"/>
      <c r="H39" s="69"/>
    </row>
    <row r="40" spans="1:41" x14ac:dyDescent="0.25">
      <c r="A40" s="87"/>
      <c r="B40" s="92"/>
      <c r="C40" s="74"/>
      <c r="D40" s="74"/>
      <c r="E40" s="73"/>
      <c r="F40" s="73"/>
      <c r="G40" s="69"/>
      <c r="H40" s="69"/>
    </row>
    <row r="41" spans="1:41" x14ac:dyDescent="0.25">
      <c r="A41" s="87"/>
      <c r="B41" s="92"/>
      <c r="C41" s="74"/>
      <c r="D41" s="74"/>
      <c r="E41" s="73"/>
      <c r="F41" s="73"/>
      <c r="G41" s="69"/>
      <c r="H41" s="69"/>
    </row>
    <row r="42" spans="1:41" x14ac:dyDescent="0.25">
      <c r="H42" s="81"/>
      <c r="AJ42" s="141"/>
      <c r="AK42" s="69"/>
      <c r="AL42" s="75"/>
      <c r="AM42" s="75"/>
      <c r="AN42" s="75"/>
      <c r="AO42" s="75"/>
    </row>
    <row r="43" spans="1:41" ht="15.75" x14ac:dyDescent="0.25">
      <c r="A43" s="210"/>
      <c r="B43" s="210"/>
      <c r="C43" s="210"/>
      <c r="D43" s="210"/>
      <c r="E43" s="210"/>
      <c r="F43" s="210"/>
      <c r="G43" s="210"/>
      <c r="H43" s="81"/>
      <c r="AJ43" s="142"/>
      <c r="AK43" s="143"/>
      <c r="AL43" s="75"/>
      <c r="AM43" s="75"/>
      <c r="AN43" s="75"/>
      <c r="AO43" s="75"/>
    </row>
    <row r="44" spans="1:41" ht="15.75" x14ac:dyDescent="0.25">
      <c r="A44" s="210"/>
      <c r="B44" s="210"/>
      <c r="C44" s="210"/>
      <c r="D44" s="210"/>
      <c r="E44" s="210"/>
      <c r="F44" s="210"/>
      <c r="G44" s="210"/>
      <c r="H44" s="81"/>
      <c r="AJ44" s="142"/>
      <c r="AK44" s="143"/>
      <c r="AL44" s="75"/>
      <c r="AM44" s="75"/>
      <c r="AN44" s="75"/>
      <c r="AO44" s="75"/>
    </row>
    <row r="45" spans="1:41" ht="15.75" x14ac:dyDescent="0.25">
      <c r="A45" s="210"/>
      <c r="B45" s="210"/>
      <c r="C45" s="210"/>
      <c r="D45" s="210"/>
      <c r="E45" s="210"/>
      <c r="F45" s="210"/>
      <c r="G45" s="210"/>
      <c r="H45" s="81"/>
      <c r="AJ45" s="142"/>
      <c r="AK45" s="143"/>
      <c r="AL45" s="75"/>
      <c r="AM45" s="75"/>
      <c r="AN45" s="75"/>
      <c r="AO45" s="75"/>
    </row>
    <row r="46" spans="1:41" ht="15.75" x14ac:dyDescent="0.25">
      <c r="A46" s="210"/>
      <c r="B46" s="210"/>
      <c r="C46" s="210"/>
      <c r="D46" s="210"/>
      <c r="E46" s="210"/>
      <c r="F46" s="210"/>
      <c r="G46" s="210"/>
      <c r="H46" s="81"/>
      <c r="AJ46" s="142"/>
      <c r="AK46" s="143"/>
      <c r="AL46" s="75"/>
      <c r="AM46" s="75"/>
      <c r="AN46" s="75"/>
      <c r="AO46" s="75"/>
    </row>
    <row r="47" spans="1:41" ht="15.75" x14ac:dyDescent="0.25">
      <c r="A47" s="210"/>
      <c r="B47" s="210"/>
      <c r="C47" s="210"/>
      <c r="D47" s="210"/>
      <c r="E47" s="210"/>
      <c r="F47" s="210"/>
      <c r="G47" s="210"/>
      <c r="H47" s="81"/>
      <c r="AJ47" s="142"/>
      <c r="AK47" s="143"/>
      <c r="AL47" s="75"/>
      <c r="AM47" s="75"/>
      <c r="AN47" s="75"/>
      <c r="AO47" s="75"/>
    </row>
    <row r="48" spans="1:41" ht="15.75" x14ac:dyDescent="0.25">
      <c r="A48" s="210"/>
      <c r="B48" s="210"/>
      <c r="C48" s="210"/>
      <c r="D48" s="210"/>
      <c r="E48" s="210"/>
      <c r="F48" s="210"/>
      <c r="G48" s="210"/>
      <c r="H48" s="81"/>
      <c r="AJ48" s="142"/>
      <c r="AK48" s="143"/>
      <c r="AL48" s="75"/>
      <c r="AM48" s="75"/>
      <c r="AN48" s="75"/>
      <c r="AO48" s="75"/>
    </row>
    <row r="49" spans="1:41" ht="15.75" x14ac:dyDescent="0.25">
      <c r="A49" s="210"/>
      <c r="B49" s="210"/>
      <c r="C49" s="210"/>
      <c r="D49" s="210"/>
      <c r="E49" s="210"/>
      <c r="F49" s="210"/>
      <c r="G49" s="210"/>
      <c r="H49" s="81"/>
      <c r="AJ49" s="142"/>
      <c r="AK49" s="143"/>
      <c r="AL49" s="75"/>
      <c r="AM49" s="75"/>
      <c r="AN49" s="75"/>
      <c r="AO49" s="75"/>
    </row>
    <row r="50" spans="1:41" ht="15.75" x14ac:dyDescent="0.25">
      <c r="A50" s="210"/>
      <c r="B50" s="210"/>
      <c r="C50" s="210"/>
      <c r="D50" s="210"/>
      <c r="E50" s="210"/>
      <c r="F50" s="210"/>
      <c r="G50" s="210"/>
      <c r="H50" s="81"/>
      <c r="AJ50" s="142"/>
      <c r="AK50" s="143"/>
      <c r="AL50" s="75"/>
      <c r="AM50" s="75"/>
      <c r="AN50" s="75"/>
      <c r="AO50" s="75"/>
    </row>
    <row r="51" spans="1:41" ht="15.75" x14ac:dyDescent="0.25">
      <c r="A51" s="210"/>
      <c r="B51" s="210"/>
      <c r="C51" s="210"/>
      <c r="D51" s="210"/>
      <c r="E51" s="210"/>
      <c r="F51" s="210"/>
      <c r="G51" s="210"/>
      <c r="H51" s="81"/>
      <c r="AJ51" s="142"/>
      <c r="AK51" s="143"/>
      <c r="AL51" s="75"/>
      <c r="AM51" s="75"/>
      <c r="AN51" s="75"/>
      <c r="AO51" s="75"/>
    </row>
    <row r="52" spans="1:41" ht="15.75" x14ac:dyDescent="0.25">
      <c r="A52" s="210"/>
      <c r="B52" s="210"/>
      <c r="C52" s="210"/>
      <c r="D52" s="210"/>
      <c r="E52" s="210"/>
      <c r="F52" s="210"/>
      <c r="G52" s="210"/>
      <c r="H52" s="81"/>
      <c r="AJ52" s="142"/>
      <c r="AK52" s="143"/>
      <c r="AL52" s="75"/>
      <c r="AM52" s="75"/>
      <c r="AN52" s="75"/>
      <c r="AO52" s="75"/>
    </row>
    <row r="53" spans="1:41" ht="15.75" x14ac:dyDescent="0.25">
      <c r="A53" s="210"/>
      <c r="B53" s="210"/>
      <c r="C53" s="210"/>
      <c r="D53" s="210"/>
      <c r="E53" s="210"/>
      <c r="F53" s="210"/>
      <c r="G53" s="210"/>
      <c r="H53" s="118"/>
      <c r="AJ53" s="147"/>
      <c r="AK53" s="147"/>
      <c r="AL53" s="75"/>
      <c r="AM53" s="75"/>
      <c r="AN53" s="75"/>
      <c r="AO53" s="75"/>
    </row>
    <row r="54" spans="1:41" ht="15.75" x14ac:dyDescent="0.25">
      <c r="A54" s="210"/>
      <c r="B54" s="210"/>
      <c r="C54" s="210"/>
      <c r="D54" s="210"/>
      <c r="E54" s="210"/>
      <c r="F54" s="210"/>
      <c r="G54" s="210"/>
      <c r="H54" s="73"/>
      <c r="AJ54" s="147"/>
      <c r="AK54" s="147"/>
      <c r="AL54" s="75"/>
      <c r="AM54" s="75"/>
      <c r="AN54" s="75"/>
      <c r="AO54" s="75"/>
    </row>
    <row r="55" spans="1:41" ht="15.75" x14ac:dyDescent="0.25">
      <c r="A55" s="210"/>
      <c r="B55" s="210"/>
      <c r="C55" s="210"/>
      <c r="D55" s="210"/>
      <c r="E55" s="210"/>
      <c r="F55" s="210"/>
      <c r="G55" s="210"/>
      <c r="H55" s="73"/>
      <c r="AJ55" s="147"/>
      <c r="AK55" s="147"/>
      <c r="AL55" s="75"/>
      <c r="AM55" s="75"/>
      <c r="AN55" s="75"/>
      <c r="AO55" s="75"/>
    </row>
    <row r="56" spans="1:41" ht="15.75" x14ac:dyDescent="0.25">
      <c r="A56" s="210"/>
      <c r="B56" s="210"/>
      <c r="C56" s="210"/>
      <c r="D56" s="210"/>
      <c r="E56" s="210"/>
      <c r="F56" s="210"/>
      <c r="G56" s="210"/>
      <c r="H56" s="73"/>
      <c r="AJ56" s="147"/>
      <c r="AK56" s="147"/>
      <c r="AL56" s="75"/>
      <c r="AM56" s="75"/>
      <c r="AN56" s="75"/>
      <c r="AO56" s="75"/>
    </row>
    <row r="57" spans="1:41" ht="15.75" x14ac:dyDescent="0.25">
      <c r="A57" s="210"/>
      <c r="B57" s="210"/>
      <c r="C57" s="210"/>
      <c r="D57" s="210"/>
      <c r="E57" s="210"/>
      <c r="F57" s="210"/>
      <c r="G57" s="210"/>
      <c r="H57" s="73"/>
      <c r="AJ57" s="147"/>
      <c r="AK57" s="147"/>
      <c r="AL57" s="75"/>
      <c r="AM57" s="75"/>
      <c r="AN57" s="75"/>
      <c r="AO57" s="75"/>
    </row>
    <row r="58" spans="1:41" ht="15.75" x14ac:dyDescent="0.25">
      <c r="A58" s="210"/>
      <c r="B58" s="210"/>
      <c r="C58" s="210"/>
      <c r="D58" s="210"/>
      <c r="E58" s="210"/>
      <c r="F58" s="210"/>
      <c r="G58" s="210"/>
      <c r="H58" s="73"/>
      <c r="AJ58" s="147"/>
      <c r="AK58" s="147"/>
      <c r="AL58" s="75"/>
      <c r="AM58" s="75"/>
      <c r="AN58" s="75"/>
      <c r="AO58" s="75"/>
    </row>
    <row r="59" spans="1:41" ht="15.75" x14ac:dyDescent="0.25">
      <c r="A59" s="210"/>
      <c r="B59" s="210"/>
      <c r="C59" s="210"/>
      <c r="D59" s="210"/>
      <c r="E59" s="210"/>
      <c r="F59" s="210"/>
      <c r="G59" s="210"/>
      <c r="H59" s="73"/>
      <c r="AJ59" s="147"/>
      <c r="AK59" s="147"/>
      <c r="AL59" s="75"/>
      <c r="AM59" s="75"/>
      <c r="AN59" s="75"/>
      <c r="AO59" s="75"/>
    </row>
    <row r="60" spans="1:41" ht="15.75" x14ac:dyDescent="0.25">
      <c r="A60" s="210"/>
      <c r="B60" s="210"/>
      <c r="C60" s="210"/>
      <c r="D60" s="210"/>
      <c r="E60" s="210"/>
      <c r="F60" s="210"/>
      <c r="G60" s="210"/>
      <c r="H60" s="73"/>
      <c r="AJ60" s="147"/>
      <c r="AK60" s="147"/>
      <c r="AL60" s="75"/>
      <c r="AM60" s="75"/>
      <c r="AN60" s="75"/>
      <c r="AO60" s="75"/>
    </row>
    <row r="61" spans="1:41" ht="15.75" x14ac:dyDescent="0.25">
      <c r="A61" s="210"/>
      <c r="B61" s="210"/>
      <c r="C61" s="210"/>
      <c r="D61" s="210"/>
      <c r="E61" s="210"/>
      <c r="F61" s="210"/>
      <c r="G61" s="210"/>
      <c r="H61" s="73"/>
      <c r="AJ61" s="147"/>
      <c r="AK61" s="147"/>
      <c r="AL61" s="75"/>
      <c r="AM61" s="75"/>
      <c r="AN61" s="75"/>
      <c r="AO61" s="75"/>
    </row>
    <row r="62" spans="1:41" ht="15.75" x14ac:dyDescent="0.25">
      <c r="A62" s="210"/>
      <c r="B62" s="210"/>
      <c r="C62" s="210"/>
      <c r="D62" s="210"/>
      <c r="E62" s="210"/>
      <c r="F62" s="210"/>
      <c r="G62" s="210"/>
      <c r="H62" s="73"/>
      <c r="AJ62" s="147"/>
      <c r="AK62" s="147"/>
      <c r="AL62" s="75"/>
      <c r="AM62" s="75"/>
      <c r="AN62" s="75"/>
      <c r="AO62" s="75"/>
    </row>
    <row r="63" spans="1:41" ht="15.75" x14ac:dyDescent="0.25">
      <c r="A63" s="210"/>
      <c r="B63" s="210"/>
      <c r="C63" s="210"/>
      <c r="D63" s="210"/>
      <c r="E63" s="210"/>
      <c r="F63" s="210"/>
      <c r="G63" s="210"/>
      <c r="H63" s="73"/>
      <c r="AJ63" s="147"/>
      <c r="AK63" s="147"/>
      <c r="AL63" s="75"/>
      <c r="AM63" s="75"/>
      <c r="AN63" s="75"/>
      <c r="AO63" s="75"/>
    </row>
    <row r="64" spans="1:41" ht="15.75" x14ac:dyDescent="0.25">
      <c r="A64" s="210"/>
      <c r="B64" s="210"/>
      <c r="C64" s="210"/>
      <c r="D64" s="210"/>
      <c r="E64" s="210"/>
      <c r="F64" s="210"/>
      <c r="G64" s="210"/>
      <c r="H64" s="73"/>
      <c r="AJ64" s="147"/>
      <c r="AK64" s="147"/>
      <c r="AL64" s="75"/>
      <c r="AM64" s="75"/>
      <c r="AN64" s="144"/>
      <c r="AO64" s="75"/>
    </row>
    <row r="65" spans="1:41" ht="15.75" x14ac:dyDescent="0.25">
      <c r="A65" s="210"/>
      <c r="B65" s="210"/>
      <c r="C65" s="210"/>
      <c r="D65" s="210"/>
      <c r="E65" s="210"/>
      <c r="F65" s="210"/>
      <c r="G65" s="210"/>
      <c r="H65" s="73"/>
      <c r="AJ65" s="147"/>
      <c r="AK65" s="147"/>
      <c r="AL65" s="75"/>
      <c r="AM65" s="75"/>
      <c r="AN65" s="75"/>
      <c r="AO65" s="75"/>
    </row>
    <row r="66" spans="1:41" ht="15.75" x14ac:dyDescent="0.25">
      <c r="A66" s="210"/>
      <c r="B66" s="210"/>
      <c r="C66" s="210"/>
      <c r="D66" s="210"/>
      <c r="E66" s="210"/>
      <c r="F66" s="210"/>
      <c r="G66" s="210"/>
      <c r="H66" s="73"/>
      <c r="AJ66" s="147"/>
      <c r="AK66" s="147"/>
      <c r="AL66" s="75"/>
      <c r="AM66" s="75"/>
      <c r="AN66" s="75"/>
      <c r="AO66" s="75"/>
    </row>
    <row r="67" spans="1:41" x14ac:dyDescent="0.25">
      <c r="B67" s="118"/>
      <c r="E67" s="118"/>
      <c r="F67" s="118"/>
      <c r="AK67" s="108"/>
    </row>
    <row r="68" spans="1:41" x14ac:dyDescent="0.25">
      <c r="B68" s="118"/>
      <c r="E68" s="118"/>
      <c r="F68" s="118"/>
      <c r="AK68" s="108"/>
    </row>
    <row r="69" spans="1:41" x14ac:dyDescent="0.25">
      <c r="B69" s="118"/>
      <c r="E69" s="118"/>
      <c r="F69" s="118"/>
      <c r="AK69" s="108"/>
    </row>
    <row r="70" spans="1:41" x14ac:dyDescent="0.25">
      <c r="B70" s="118"/>
      <c r="E70" s="118"/>
      <c r="F70" s="118"/>
      <c r="AK70" s="108"/>
    </row>
    <row r="71" spans="1:41" x14ac:dyDescent="0.25">
      <c r="B71" s="118"/>
      <c r="E71" s="118"/>
      <c r="F71" s="118"/>
      <c r="AK71" s="108"/>
    </row>
    <row r="72" spans="1:41" x14ac:dyDescent="0.25">
      <c r="B72" s="118"/>
      <c r="E72" s="118"/>
      <c r="F72" s="118"/>
    </row>
    <row r="73" spans="1:41" x14ac:dyDescent="0.25">
      <c r="B73" s="118"/>
      <c r="E73" s="118"/>
      <c r="F73" s="118"/>
    </row>
    <row r="74" spans="1:41" x14ac:dyDescent="0.25">
      <c r="B74" s="118"/>
      <c r="E74" s="118"/>
      <c r="F74" s="118"/>
    </row>
    <row r="75" spans="1:41" x14ac:dyDescent="0.25">
      <c r="B75" s="118"/>
      <c r="E75" s="118"/>
      <c r="F75" s="118"/>
    </row>
    <row r="76" spans="1:41" x14ac:dyDescent="0.25">
      <c r="B76" s="118"/>
      <c r="E76" s="118"/>
      <c r="F76" s="118"/>
    </row>
    <row r="77" spans="1:41" x14ac:dyDescent="0.25">
      <c r="B77" s="118"/>
      <c r="E77" s="118"/>
      <c r="F77" s="118"/>
    </row>
  </sheetData>
  <sheetProtection sheet="1" objects="1" scenarios="1" selectLockedCells="1"/>
  <scenarios current="0" sqref="A1:F3">
    <scenario name="teste" locked="1" count="1" user="Your User Name" comment="Gemaakt door Your User Name op 28/11/2013">
      <inputCells r="B37" val="465"/>
    </scenario>
  </scenarios>
  <mergeCells count="57">
    <mergeCell ref="AL1:AU3"/>
    <mergeCell ref="AL27:AR27"/>
    <mergeCell ref="AL28:AR28"/>
    <mergeCell ref="AL29:AR29"/>
    <mergeCell ref="AL30:AR30"/>
    <mergeCell ref="AL22:AR22"/>
    <mergeCell ref="AL23:AR23"/>
    <mergeCell ref="AL24:AR24"/>
    <mergeCell ref="AL25:AR25"/>
    <mergeCell ref="AL26:AR26"/>
    <mergeCell ref="AL17:AR17"/>
    <mergeCell ref="AL18:AR18"/>
    <mergeCell ref="AL19:AR19"/>
    <mergeCell ref="AL20:AR20"/>
    <mergeCell ref="AL21:AR21"/>
    <mergeCell ref="AL12:AR12"/>
    <mergeCell ref="AL13:AR13"/>
    <mergeCell ref="AL14:AR14"/>
    <mergeCell ref="AL15:AR15"/>
    <mergeCell ref="AL16:AR16"/>
    <mergeCell ref="AL7:AR7"/>
    <mergeCell ref="AL8:AR8"/>
    <mergeCell ref="AL9:AR9"/>
    <mergeCell ref="AL10:AR10"/>
    <mergeCell ref="AL11:AR11"/>
    <mergeCell ref="B1:G1"/>
    <mergeCell ref="B2:G2"/>
    <mergeCell ref="B3:G3"/>
    <mergeCell ref="A51:G51"/>
    <mergeCell ref="Y5:AB5"/>
    <mergeCell ref="T5:U5"/>
    <mergeCell ref="V5:W5"/>
    <mergeCell ref="A7:A15"/>
    <mergeCell ref="A19:A27"/>
    <mergeCell ref="A66:G66"/>
    <mergeCell ref="A43:G43"/>
    <mergeCell ref="A59:G59"/>
    <mergeCell ref="A60:G60"/>
    <mergeCell ref="A61:G61"/>
    <mergeCell ref="A62:G62"/>
    <mergeCell ref="A63:G63"/>
    <mergeCell ref="A54:G54"/>
    <mergeCell ref="A55:G55"/>
    <mergeCell ref="A56:G56"/>
    <mergeCell ref="A57:G57"/>
    <mergeCell ref="A58:G58"/>
    <mergeCell ref="A49:G49"/>
    <mergeCell ref="A50:G50"/>
    <mergeCell ref="A52:G52"/>
    <mergeCell ref="A53:G53"/>
    <mergeCell ref="A64:G64"/>
    <mergeCell ref="A65:G65"/>
    <mergeCell ref="A44:G44"/>
    <mergeCell ref="A45:G45"/>
    <mergeCell ref="A46:G46"/>
    <mergeCell ref="A47:G47"/>
    <mergeCell ref="A48:G48"/>
  </mergeCells>
  <conditionalFormatting sqref="B8">
    <cfRule type="containsErrors" dxfId="47" priority="23">
      <formula>ISERROR(B8)</formula>
    </cfRule>
  </conditionalFormatting>
  <conditionalFormatting sqref="B9:B15">
    <cfRule type="containsErrors" dxfId="46" priority="22">
      <formula>ISERROR(B9)</formula>
    </cfRule>
  </conditionalFormatting>
  <conditionalFormatting sqref="B20:B27">
    <cfRule type="containsErrors" dxfId="45" priority="21">
      <formula>ISERROR(B20)</formula>
    </cfRule>
  </conditionalFormatting>
  <conditionalFormatting sqref="F19:G28">
    <cfRule type="containsErrors" dxfId="44" priority="20">
      <formula>ISERROR(F19)</formula>
    </cfRule>
  </conditionalFormatting>
  <conditionalFormatting sqref="B31">
    <cfRule type="containsErrors" dxfId="43" priority="19">
      <formula>ISERROR(B31)</formula>
    </cfRule>
  </conditionalFormatting>
  <conditionalFormatting sqref="B37:B38">
    <cfRule type="containsErrors" dxfId="42" priority="18">
      <formula>ISERROR(B37)</formula>
    </cfRule>
  </conditionalFormatting>
  <conditionalFormatting sqref="B39">
    <cfRule type="containsErrors" dxfId="41" priority="17">
      <formula>ISERROR(B39)</formula>
    </cfRule>
  </conditionalFormatting>
  <conditionalFormatting sqref="B34">
    <cfRule type="containsErrors" dxfId="40" priority="26">
      <formula>ISERROR(B34)</formula>
    </cfRule>
  </conditionalFormatting>
  <conditionalFormatting sqref="D5">
    <cfRule type="containsErrors" dxfId="39" priority="24">
      <formula>ISERROR(D5)</formula>
    </cfRule>
  </conditionalFormatting>
  <conditionalFormatting sqref="G29">
    <cfRule type="containsErrors" dxfId="38" priority="10">
      <formula>ISERROR(G29)</formula>
    </cfRule>
  </conditionalFormatting>
  <conditionalFormatting sqref="B35">
    <cfRule type="containsErrors" dxfId="37" priority="9">
      <formula>ISERROR(B35)</formula>
    </cfRule>
  </conditionalFormatting>
  <conditionalFormatting sqref="B33">
    <cfRule type="containsErrors" dxfId="36" priority="8">
      <formula>ISERROR(B33)</formula>
    </cfRule>
  </conditionalFormatting>
  <conditionalFormatting sqref="B19">
    <cfRule type="cellIs" dxfId="35" priority="7" operator="equal">
      <formula>0</formula>
    </cfRule>
  </conditionalFormatting>
  <conditionalFormatting sqref="B7">
    <cfRule type="cellIs" dxfId="34" priority="6" operator="equal">
      <formula>0</formula>
    </cfRule>
  </conditionalFormatting>
  <conditionalFormatting sqref="D7:D15">
    <cfRule type="cellIs" dxfId="33" priority="5" operator="equal">
      <formula>0</formula>
    </cfRule>
  </conditionalFormatting>
  <conditionalFormatting sqref="E19:E27">
    <cfRule type="cellIs" dxfId="32" priority="4" operator="equal">
      <formula>0</formula>
    </cfRule>
  </conditionalFormatting>
  <conditionalFormatting sqref="E28">
    <cfRule type="cellIs" dxfId="31" priority="3" operator="equal">
      <formula>0</formula>
    </cfRule>
  </conditionalFormatting>
  <conditionalFormatting sqref="AW7:AW30">
    <cfRule type="cellIs" dxfId="30" priority="2" operator="equal">
      <formula>0</formula>
    </cfRule>
  </conditionalFormatting>
  <conditionalFormatting sqref="D16">
    <cfRule type="cellIs" dxfId="29" priority="1" operator="equal">
      <formula>0</formula>
    </cfRule>
  </conditionalFormatting>
  <dataValidations count="5">
    <dataValidation type="list" allowBlank="1" showInputMessage="1" showErrorMessage="1" sqref="B1:G1">
      <formula1>$J$2:$J$4</formula1>
    </dataValidation>
    <dataValidation type="list" allowBlank="1" showInputMessage="1" showErrorMessage="1" sqref="B2:G2">
      <formula1>$K$1:$L$1</formula1>
    </dataValidation>
    <dataValidation type="list" allowBlank="1" showInputMessage="1" showErrorMessage="1" sqref="B3:G3">
      <formula1>$M$1:$O$1</formula1>
    </dataValidation>
    <dataValidation type="list" allowBlank="1" showInputMessage="1" showErrorMessage="1" sqref="E7:E15">
      <formula1>$P$1:$Q$1</formula1>
    </dataValidation>
    <dataValidation type="list" allowBlank="1" showInputMessage="1" showErrorMessage="1" sqref="B7:B15">
      <formula1>$AD$3:$AD$9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W74"/>
  <sheetViews>
    <sheetView showGridLines="0" showRowColHeaders="0" tabSelected="1" zoomScale="85" zoomScaleNormal="85" workbookViewId="0">
      <selection activeCell="B1" sqref="B1:G1"/>
    </sheetView>
  </sheetViews>
  <sheetFormatPr defaultRowHeight="15" x14ac:dyDescent="0.25"/>
  <cols>
    <col min="1" max="1" width="25.5703125" style="71" customWidth="1"/>
    <col min="2" max="2" width="9" style="118" customWidth="1"/>
    <col min="3" max="3" width="7" style="83" customWidth="1"/>
    <col min="4" max="4" width="11.42578125" style="83" customWidth="1"/>
    <col min="5" max="5" width="8.5703125" style="118" customWidth="1"/>
    <col min="6" max="6" width="6.28515625" style="118" customWidth="1"/>
    <col min="7" max="7" width="9.140625" style="71" customWidth="1"/>
    <col min="8" max="8" width="4.140625" style="71" customWidth="1"/>
    <col min="9" max="9" width="7" style="70" hidden="1" customWidth="1"/>
    <col min="10" max="10" width="49.42578125" style="70" hidden="1" customWidth="1"/>
    <col min="11" max="11" width="15" style="70" hidden="1" customWidth="1"/>
    <col min="12" max="12" width="14.85546875" style="70" hidden="1" customWidth="1"/>
    <col min="13" max="13" width="10.85546875" style="70" hidden="1" customWidth="1"/>
    <col min="14" max="14" width="6.7109375" style="70" hidden="1" customWidth="1"/>
    <col min="15" max="15" width="9.140625" style="70" hidden="1" customWidth="1"/>
    <col min="16" max="17" width="5.140625" style="70" hidden="1" customWidth="1"/>
    <col min="18" max="18" width="7.140625" style="70" hidden="1" customWidth="1"/>
    <col min="19" max="19" width="6.7109375" style="70" hidden="1" customWidth="1"/>
    <col min="20" max="20" width="9.140625" style="70" hidden="1" customWidth="1"/>
    <col min="21" max="26" width="6.85546875" style="70" hidden="1" customWidth="1"/>
    <col min="27" max="27" width="9.140625" style="71" hidden="1" customWidth="1"/>
    <col min="28" max="32" width="6.85546875" style="71" hidden="1" customWidth="1"/>
    <col min="33" max="36" width="9.140625" style="71" hidden="1" customWidth="1"/>
    <col min="37" max="37" width="9.85546875" style="71" hidden="1" customWidth="1"/>
    <col min="38" max="38" width="8.85546875" style="71" hidden="1" customWidth="1"/>
    <col min="39" max="39" width="12.7109375" style="71" customWidth="1"/>
    <col min="40" max="45" width="9.140625" style="71"/>
    <col min="46" max="46" width="5.42578125" style="71" customWidth="1"/>
    <col min="47" max="47" width="7.42578125" style="118" customWidth="1"/>
    <col min="48" max="48" width="14.5703125" style="71" customWidth="1"/>
    <col min="49" max="49" width="7.28515625" style="71" customWidth="1"/>
    <col min="50" max="50" width="5.42578125" style="71" customWidth="1"/>
    <col min="51" max="16384" width="9.140625" style="71"/>
  </cols>
  <sheetData>
    <row r="1" spans="1:64" ht="18.75" x14ac:dyDescent="0.3">
      <c r="A1" s="104" t="s">
        <v>59</v>
      </c>
      <c r="B1" s="211"/>
      <c r="C1" s="211"/>
      <c r="D1" s="211"/>
      <c r="E1" s="211"/>
      <c r="F1" s="211"/>
      <c r="G1" s="211"/>
      <c r="H1" s="69"/>
      <c r="J1" s="114" t="s">
        <v>116</v>
      </c>
      <c r="K1" s="70" t="s">
        <v>125</v>
      </c>
      <c r="L1" s="70" t="s">
        <v>123</v>
      </c>
      <c r="M1" s="123"/>
      <c r="N1" s="123"/>
      <c r="O1" s="175">
        <f>E16</f>
        <v>0</v>
      </c>
      <c r="P1" s="123" t="s">
        <v>16</v>
      </c>
      <c r="Q1" s="123" t="s">
        <v>17</v>
      </c>
      <c r="R1" s="123">
        <f>IF(E16&gt;0,E16,1)</f>
        <v>1</v>
      </c>
      <c r="S1" s="123">
        <f>IF(B3=O1,1,R1)</f>
        <v>1</v>
      </c>
      <c r="T1" s="95">
        <v>16</v>
      </c>
      <c r="U1" s="95"/>
      <c r="V1" s="95"/>
      <c r="W1" s="123"/>
      <c r="X1" s="123"/>
      <c r="Y1" s="123"/>
      <c r="Z1" s="123"/>
      <c r="AA1" s="95"/>
      <c r="AB1" s="95"/>
      <c r="AC1" s="95"/>
      <c r="AE1" s="70" t="s">
        <v>3</v>
      </c>
      <c r="AF1" s="70" t="s">
        <v>4</v>
      </c>
      <c r="AG1" s="71">
        <v>20</v>
      </c>
      <c r="AM1" s="219" t="s">
        <v>159</v>
      </c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</row>
    <row r="2" spans="1:64" ht="18.75" x14ac:dyDescent="0.3">
      <c r="A2" s="105" t="s">
        <v>0</v>
      </c>
      <c r="B2" s="212"/>
      <c r="C2" s="212"/>
      <c r="D2" s="212"/>
      <c r="E2" s="212"/>
      <c r="F2" s="212"/>
      <c r="G2" s="212"/>
      <c r="H2" s="69"/>
      <c r="J2" s="4" t="s">
        <v>57</v>
      </c>
      <c r="K2" s="70" t="s">
        <v>58</v>
      </c>
      <c r="O2" s="176">
        <f>O1-1</f>
        <v>-1</v>
      </c>
      <c r="P2" s="70" t="s">
        <v>135</v>
      </c>
      <c r="S2" s="70">
        <f>S1-1</f>
        <v>0</v>
      </c>
      <c r="T2" s="70">
        <f>IF(B2=J6,1,0)</f>
        <v>0</v>
      </c>
      <c r="U2" s="70">
        <f>IF(B3=U9,0,1)</f>
        <v>1</v>
      </c>
      <c r="V2" s="70">
        <f>U2*T2</f>
        <v>0</v>
      </c>
      <c r="W2" s="70">
        <f>IF(V2=0,1,0)</f>
        <v>1</v>
      </c>
      <c r="AB2" s="70"/>
      <c r="AC2" s="70"/>
      <c r="AE2" s="70" t="s">
        <v>4</v>
      </c>
      <c r="AF2" s="70" t="s">
        <v>5</v>
      </c>
      <c r="AG2" s="71">
        <v>20</v>
      </c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</row>
    <row r="3" spans="1:64" ht="18.75" x14ac:dyDescent="0.3">
      <c r="A3" s="104" t="s">
        <v>60</v>
      </c>
      <c r="B3" s="211"/>
      <c r="C3" s="211"/>
      <c r="D3" s="211"/>
      <c r="E3" s="211"/>
      <c r="F3" s="211"/>
      <c r="G3" s="211"/>
      <c r="H3" s="69"/>
      <c r="J3" s="4" t="s">
        <v>55</v>
      </c>
      <c r="K3" s="70" t="str">
        <f>IF(B1=J5,0,L3)</f>
        <v>netto drankinkomst</v>
      </c>
      <c r="L3" s="70" t="s">
        <v>138</v>
      </c>
      <c r="AE3" s="70" t="s">
        <v>5</v>
      </c>
      <c r="AF3" s="70" t="s">
        <v>6</v>
      </c>
      <c r="AG3" s="71">
        <v>20</v>
      </c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</row>
    <row r="4" spans="1:64" x14ac:dyDescent="0.25">
      <c r="E4" s="69"/>
      <c r="F4" s="69"/>
      <c r="G4" s="70"/>
      <c r="H4" s="69"/>
      <c r="J4" s="4" t="s">
        <v>56</v>
      </c>
      <c r="K4" s="70" t="s">
        <v>19</v>
      </c>
      <c r="AE4" s="70" t="s">
        <v>6</v>
      </c>
      <c r="AF4" s="70" t="s">
        <v>7</v>
      </c>
      <c r="AG4" s="71">
        <v>20</v>
      </c>
    </row>
    <row r="5" spans="1:64" ht="19.5" thickBot="1" x14ac:dyDescent="0.3">
      <c r="A5" s="69"/>
      <c r="B5" s="73"/>
      <c r="C5" s="194" t="s">
        <v>66</v>
      </c>
      <c r="D5" s="198" t="e">
        <f>VLOOKUP(B2,J25:O26,6,FALSE)</f>
        <v>#N/A</v>
      </c>
      <c r="E5" s="73"/>
      <c r="F5" s="73"/>
      <c r="G5" s="69"/>
      <c r="H5" s="69"/>
      <c r="J5" s="70" t="s">
        <v>132</v>
      </c>
      <c r="K5" s="70">
        <f>IF(B1=J5,0,L6)</f>
        <v>0</v>
      </c>
      <c r="AE5" s="70" t="s">
        <v>7</v>
      </c>
      <c r="AF5" s="70" t="s">
        <v>8</v>
      </c>
      <c r="AG5" s="71" t="e">
        <f>VLOOKUP(B1,J10:O13,5,FALSE)</f>
        <v>#N/A</v>
      </c>
    </row>
    <row r="6" spans="1:64" ht="26.25" x14ac:dyDescent="0.25">
      <c r="A6" s="106" t="s">
        <v>12</v>
      </c>
      <c r="B6" s="134" t="s">
        <v>48</v>
      </c>
      <c r="C6" s="133" t="s">
        <v>124</v>
      </c>
      <c r="D6" s="133" t="s">
        <v>126</v>
      </c>
      <c r="E6" s="126" t="str">
        <f>IF(B3=U9,K1,L1)</f>
        <v>publieks-activiteit</v>
      </c>
      <c r="F6" s="73"/>
      <c r="G6" s="69"/>
      <c r="H6" s="69"/>
      <c r="J6" s="123" t="s">
        <v>134</v>
      </c>
      <c r="L6" s="70">
        <f>IF(B2=J7,L7,0)</f>
        <v>0</v>
      </c>
      <c r="AE6" s="70" t="s">
        <v>8</v>
      </c>
      <c r="AF6" s="70" t="s">
        <v>9</v>
      </c>
      <c r="AG6" s="70" t="e">
        <f>VLOOKUP(B1,J10:P13,5,FALSE)</f>
        <v>#N/A</v>
      </c>
      <c r="AT6" s="193" t="s">
        <v>45</v>
      </c>
      <c r="AU6" s="193" t="s">
        <v>110</v>
      </c>
      <c r="AV6" s="108"/>
      <c r="AW6" s="71" t="s">
        <v>44</v>
      </c>
    </row>
    <row r="7" spans="1:64" ht="16.5" customHeight="1" x14ac:dyDescent="0.25">
      <c r="B7" s="148"/>
      <c r="C7" s="129"/>
      <c r="D7" s="79">
        <f>IF(C7&gt;T1,T1,C7)</f>
        <v>0</v>
      </c>
      <c r="E7" s="131"/>
      <c r="F7" s="192">
        <f>IF(E7=P1,1,0)</f>
        <v>0</v>
      </c>
      <c r="G7" s="69"/>
      <c r="H7" s="69"/>
      <c r="J7" s="123" t="s">
        <v>133</v>
      </c>
      <c r="L7" s="70" t="s">
        <v>65</v>
      </c>
      <c r="AE7" s="70" t="s">
        <v>9</v>
      </c>
      <c r="AF7" s="70" t="s">
        <v>3</v>
      </c>
      <c r="AG7" s="70">
        <v>20</v>
      </c>
      <c r="AM7" s="210" t="s">
        <v>101</v>
      </c>
      <c r="AN7" s="210"/>
      <c r="AO7" s="210"/>
      <c r="AP7" s="210"/>
      <c r="AQ7" s="210"/>
      <c r="AR7" s="210"/>
      <c r="AS7" s="210"/>
      <c r="AT7" s="193">
        <v>15</v>
      </c>
      <c r="AU7" s="145"/>
      <c r="AV7" s="103" t="s">
        <v>111</v>
      </c>
      <c r="AX7" s="71">
        <f t="shared" ref="AX7:AX21" si="0">AT7*AU7</f>
        <v>0</v>
      </c>
    </row>
    <row r="8" spans="1:64" ht="16.5" customHeight="1" x14ac:dyDescent="0.25">
      <c r="A8" s="106"/>
      <c r="B8" s="78" t="e">
        <f>VLOOKUP(B7,AE1:AF7,2,FALSE)</f>
        <v>#N/A</v>
      </c>
      <c r="C8" s="129"/>
      <c r="D8" s="79">
        <f>IF(C8&gt;T1,T1,C8)</f>
        <v>0</v>
      </c>
      <c r="E8" s="131"/>
      <c r="F8" s="192">
        <f>IF(E8=P1,1,0)</f>
        <v>0</v>
      </c>
      <c r="G8" s="69"/>
      <c r="H8" s="69"/>
      <c r="J8" s="158"/>
      <c r="K8" s="159"/>
      <c r="L8" s="159"/>
      <c r="M8" s="159"/>
      <c r="N8" s="159"/>
      <c r="O8" s="159"/>
      <c r="P8" s="159"/>
      <c r="Q8" s="159"/>
      <c r="R8" s="218" t="s">
        <v>120</v>
      </c>
      <c r="S8" s="218"/>
      <c r="T8" s="218"/>
      <c r="U8" s="218"/>
      <c r="V8" s="218" t="s">
        <v>136</v>
      </c>
      <c r="W8" s="218"/>
      <c r="X8" s="218"/>
      <c r="Y8" s="218"/>
      <c r="Z8" s="220" t="s">
        <v>135</v>
      </c>
      <c r="AA8" s="220"/>
      <c r="AB8" s="220"/>
      <c r="AC8" s="220"/>
      <c r="AD8" s="218"/>
      <c r="AE8" s="218"/>
      <c r="AF8" s="218"/>
      <c r="AG8" s="218"/>
      <c r="AH8" s="160"/>
      <c r="AM8" s="210" t="s">
        <v>71</v>
      </c>
      <c r="AN8" s="210"/>
      <c r="AO8" s="210"/>
      <c r="AP8" s="210"/>
      <c r="AQ8" s="210"/>
      <c r="AR8" s="210"/>
      <c r="AS8" s="210"/>
      <c r="AT8" s="193">
        <v>3</v>
      </c>
      <c r="AU8" s="145"/>
      <c r="AV8" s="103" t="s">
        <v>112</v>
      </c>
      <c r="AX8" s="71">
        <f t="shared" si="0"/>
        <v>0</v>
      </c>
    </row>
    <row r="9" spans="1:64" ht="16.5" customHeight="1" x14ac:dyDescent="0.25">
      <c r="A9" s="106"/>
      <c r="B9" s="78" t="e">
        <f>VLOOKUP(B8,AE1:AF7,2,FALSE)</f>
        <v>#N/A</v>
      </c>
      <c r="C9" s="129"/>
      <c r="D9" s="79">
        <f>IF(C9&gt;T1,T1,C9)</f>
        <v>0</v>
      </c>
      <c r="E9" s="131"/>
      <c r="F9" s="192">
        <f>IF(E9=P1,1,0)</f>
        <v>0</v>
      </c>
      <c r="G9" s="69"/>
      <c r="H9" s="69"/>
      <c r="J9" s="161" t="s">
        <v>137</v>
      </c>
      <c r="K9" s="70" t="s">
        <v>141</v>
      </c>
      <c r="L9" s="113" t="s">
        <v>142</v>
      </c>
      <c r="M9" s="162" t="s">
        <v>143</v>
      </c>
      <c r="N9" s="117" t="s">
        <v>139</v>
      </c>
      <c r="O9" s="70" t="s">
        <v>2</v>
      </c>
      <c r="R9" s="116" t="s">
        <v>58</v>
      </c>
      <c r="S9" s="116" t="s">
        <v>138</v>
      </c>
      <c r="T9" s="116" t="str">
        <f>K4</f>
        <v>repetitie</v>
      </c>
      <c r="U9" s="116" t="s">
        <v>65</v>
      </c>
      <c r="V9" s="116" t="s">
        <v>58</v>
      </c>
      <c r="W9" s="116" t="s">
        <v>138</v>
      </c>
      <c r="X9" s="116" t="s">
        <v>19</v>
      </c>
      <c r="Y9" s="116" t="s">
        <v>65</v>
      </c>
      <c r="Z9" s="116" t="s">
        <v>58</v>
      </c>
      <c r="AA9" s="116" t="s">
        <v>138</v>
      </c>
      <c r="AB9" s="116" t="s">
        <v>19</v>
      </c>
      <c r="AC9" s="116" t="s">
        <v>65</v>
      </c>
      <c r="AD9" s="70"/>
      <c r="AE9" s="70"/>
      <c r="AF9" s="70"/>
      <c r="AG9" s="70"/>
      <c r="AH9" s="163" t="s">
        <v>2</v>
      </c>
      <c r="AM9" s="210" t="s">
        <v>102</v>
      </c>
      <c r="AN9" s="210"/>
      <c r="AO9" s="210"/>
      <c r="AP9" s="210"/>
      <c r="AQ9" s="210"/>
      <c r="AR9" s="210"/>
      <c r="AS9" s="210"/>
      <c r="AT9" s="193">
        <v>15</v>
      </c>
      <c r="AU9" s="145"/>
      <c r="AV9" s="103" t="s">
        <v>111</v>
      </c>
      <c r="AX9" s="71">
        <f t="shared" si="0"/>
        <v>0</v>
      </c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</row>
    <row r="10" spans="1:64" ht="16.5" customHeight="1" x14ac:dyDescent="0.25">
      <c r="A10" s="106"/>
      <c r="B10" s="78" t="e">
        <f>VLOOKUP(B9,AE1:AF7,2,FALSE)</f>
        <v>#N/A</v>
      </c>
      <c r="C10" s="129"/>
      <c r="D10" s="79">
        <f>IF(C10&gt;T1,T1,C10)</f>
        <v>0</v>
      </c>
      <c r="E10" s="131"/>
      <c r="F10" s="192">
        <f>IF(E10=P1,1,0)</f>
        <v>0</v>
      </c>
      <c r="G10" s="69"/>
      <c r="H10" s="69"/>
      <c r="J10" s="164" t="s">
        <v>57</v>
      </c>
      <c r="K10" s="70" t="e">
        <f>HLOOKUP(B3,R9:U13,2,FALSE)</f>
        <v>#N/A</v>
      </c>
      <c r="L10" s="70" t="e">
        <f>HLOOKUP(B3,V9:Y13,2,FALSE)</f>
        <v>#N/A</v>
      </c>
      <c r="M10" s="113" t="e">
        <f>HLOOKUP(B3,Z9:AC13,2,FALSE)</f>
        <v>#N/A</v>
      </c>
      <c r="N10" s="119">
        <v>20</v>
      </c>
      <c r="O10" s="117">
        <v>9</v>
      </c>
      <c r="R10" s="116">
        <v>75</v>
      </c>
      <c r="S10" s="116">
        <v>225</v>
      </c>
      <c r="T10" s="116">
        <v>30</v>
      </c>
      <c r="U10" s="116">
        <v>300</v>
      </c>
      <c r="V10" s="70">
        <v>0</v>
      </c>
      <c r="W10" s="70">
        <v>225</v>
      </c>
      <c r="Y10" s="70">
        <v>300</v>
      </c>
      <c r="Z10" s="108"/>
      <c r="AA10" s="70">
        <v>225</v>
      </c>
      <c r="AB10" s="108"/>
      <c r="AC10" s="108"/>
      <c r="AD10" s="70"/>
      <c r="AE10" s="70"/>
      <c r="AF10" s="70"/>
      <c r="AG10" s="70"/>
      <c r="AH10" s="165"/>
      <c r="AM10" s="210" t="s">
        <v>103</v>
      </c>
      <c r="AN10" s="210"/>
      <c r="AO10" s="210"/>
      <c r="AP10" s="210"/>
      <c r="AQ10" s="210"/>
      <c r="AR10" s="210"/>
      <c r="AS10" s="210"/>
      <c r="AT10" s="193">
        <v>5</v>
      </c>
      <c r="AU10" s="145"/>
      <c r="AV10" s="146" t="s">
        <v>113</v>
      </c>
      <c r="AX10" s="71">
        <f t="shared" si="0"/>
        <v>0</v>
      </c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6.5" customHeight="1" x14ac:dyDescent="0.25">
      <c r="A11" s="106"/>
      <c r="B11" s="78" t="e">
        <f>VLOOKUP(B10,AE1:AF7,2,FALSE)</f>
        <v>#N/A</v>
      </c>
      <c r="C11" s="129"/>
      <c r="D11" s="79">
        <f>IF(C11&gt;T1,T1,C11)</f>
        <v>0</v>
      </c>
      <c r="E11" s="131"/>
      <c r="F11" s="192">
        <f>IF(E11=P1,1,0)</f>
        <v>0</v>
      </c>
      <c r="G11" s="69"/>
      <c r="H11" s="69"/>
      <c r="J11" s="164" t="s">
        <v>55</v>
      </c>
      <c r="K11" s="70" t="e">
        <f>HLOOKUP(B3,R9:U13,3,FALSE)</f>
        <v>#N/A</v>
      </c>
      <c r="L11" s="70" t="e">
        <f>HLOOKUP(B3,V9:Y13,3,FALSE)</f>
        <v>#N/A</v>
      </c>
      <c r="M11" s="113" t="e">
        <f>HLOOKUP(B3,Z9:AC13,3,FALSE)</f>
        <v>#N/A</v>
      </c>
      <c r="N11" s="119">
        <v>20</v>
      </c>
      <c r="O11" s="117">
        <v>9</v>
      </c>
      <c r="R11" s="116">
        <v>75</v>
      </c>
      <c r="S11" s="116">
        <v>420</v>
      </c>
      <c r="T11" s="116">
        <v>30</v>
      </c>
      <c r="U11" s="116">
        <v>495</v>
      </c>
      <c r="V11" s="70">
        <v>0</v>
      </c>
      <c r="W11" s="70">
        <v>420</v>
      </c>
      <c r="Y11" s="70">
        <v>495</v>
      </c>
      <c r="Z11" s="108"/>
      <c r="AA11" s="70">
        <v>420</v>
      </c>
      <c r="AB11" s="108"/>
      <c r="AC11" s="108">
        <v>300</v>
      </c>
      <c r="AD11" s="70"/>
      <c r="AE11" s="70"/>
      <c r="AF11" s="70"/>
      <c r="AG11" s="70"/>
      <c r="AH11" s="166"/>
      <c r="AI11" s="70"/>
      <c r="AJ11" s="70"/>
      <c r="AK11" s="70"/>
      <c r="AL11" s="70"/>
      <c r="AM11" s="210" t="s">
        <v>104</v>
      </c>
      <c r="AN11" s="210"/>
      <c r="AO11" s="210"/>
      <c r="AP11" s="210"/>
      <c r="AQ11" s="210"/>
      <c r="AR11" s="210"/>
      <c r="AS11" s="210"/>
      <c r="AT11" s="193">
        <v>25</v>
      </c>
      <c r="AU11" s="145"/>
      <c r="AV11" s="103" t="s">
        <v>111</v>
      </c>
      <c r="AX11" s="71">
        <f t="shared" si="0"/>
        <v>0</v>
      </c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6.5" customHeight="1" x14ac:dyDescent="0.25">
      <c r="A12" s="106"/>
      <c r="B12" s="78" t="e">
        <f>VLOOKUP(B11,AE1:AF7,2,FALSE)</f>
        <v>#N/A</v>
      </c>
      <c r="C12" s="129"/>
      <c r="D12" s="79">
        <f>IF(C12&gt;T1,T1,C12)</f>
        <v>0</v>
      </c>
      <c r="E12" s="131"/>
      <c r="F12" s="192">
        <f>IF(E12=P1,1,0)</f>
        <v>0</v>
      </c>
      <c r="G12" s="69"/>
      <c r="H12" s="69"/>
      <c r="J12" s="164" t="s">
        <v>56</v>
      </c>
      <c r="K12" s="70" t="e">
        <f>HLOOKUP(B3,R9:U13,4,FALSE)</f>
        <v>#N/A</v>
      </c>
      <c r="L12" s="70" t="e">
        <f>HLOOKUP(B3,V9:Y13,4,FALSE)</f>
        <v>#N/A</v>
      </c>
      <c r="M12" s="113" t="e">
        <f>HLOOKUP(B3,Z9:AC13,4,FALSE)</f>
        <v>#N/A</v>
      </c>
      <c r="N12" s="119">
        <v>40</v>
      </c>
      <c r="O12" s="117">
        <v>18</v>
      </c>
      <c r="R12" s="116">
        <v>150</v>
      </c>
      <c r="S12" s="116">
        <v>600</v>
      </c>
      <c r="T12" s="116">
        <v>120</v>
      </c>
      <c r="U12" s="116">
        <v>675</v>
      </c>
      <c r="V12" s="70">
        <v>0</v>
      </c>
      <c r="W12" s="70">
        <v>600</v>
      </c>
      <c r="Y12" s="70">
        <v>675</v>
      </c>
      <c r="Z12" s="108"/>
      <c r="AA12" s="70">
        <v>600</v>
      </c>
      <c r="AB12" s="108"/>
      <c r="AC12" s="108">
        <v>420</v>
      </c>
      <c r="AD12" s="70"/>
      <c r="AE12" s="70"/>
      <c r="AF12" s="70"/>
      <c r="AG12" s="70"/>
      <c r="AH12" s="166"/>
      <c r="AI12" s="70"/>
      <c r="AJ12" s="70"/>
      <c r="AK12" s="70"/>
      <c r="AL12" s="70"/>
      <c r="AM12" s="210" t="s">
        <v>105</v>
      </c>
      <c r="AN12" s="210"/>
      <c r="AO12" s="210"/>
      <c r="AP12" s="210"/>
      <c r="AQ12" s="210"/>
      <c r="AR12" s="210"/>
      <c r="AS12" s="210"/>
      <c r="AT12" s="193">
        <v>25</v>
      </c>
      <c r="AU12" s="145"/>
      <c r="AV12" s="103" t="s">
        <v>111</v>
      </c>
      <c r="AX12" s="71">
        <f t="shared" si="0"/>
        <v>0</v>
      </c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16.5" customHeight="1" x14ac:dyDescent="0.25">
      <c r="A13" s="106"/>
      <c r="B13" s="78" t="e">
        <f>VLOOKUP(B12,AE1:AF7,2,FALSE)</f>
        <v>#N/A</v>
      </c>
      <c r="C13" s="129"/>
      <c r="D13" s="79">
        <f>IF(C13&gt;T1,T1,C13)</f>
        <v>0</v>
      </c>
      <c r="E13" s="131"/>
      <c r="F13" s="192">
        <f>IF(E13=P1,1,0)</f>
        <v>0</v>
      </c>
      <c r="G13" s="69"/>
      <c r="H13" s="69"/>
      <c r="J13" s="167" t="s">
        <v>132</v>
      </c>
      <c r="K13" s="70" t="e">
        <f>HLOOKUP(B3,R9:U13,5,FALSE)</f>
        <v>#N/A</v>
      </c>
      <c r="L13" s="113" t="e">
        <f>HLOOKUP(B3,V9:Y13,5,FALSE)</f>
        <v>#N/A</v>
      </c>
      <c r="M13" s="70" t="e">
        <f>HLOOKUP(B3,Z9:AC13,5,FALSE)</f>
        <v>#N/A</v>
      </c>
      <c r="N13" s="119">
        <v>20</v>
      </c>
      <c r="O13" s="117">
        <v>9</v>
      </c>
      <c r="R13" s="116">
        <v>75</v>
      </c>
      <c r="S13" s="116">
        <v>75</v>
      </c>
      <c r="T13" s="116">
        <v>30</v>
      </c>
      <c r="U13" s="116"/>
      <c r="V13" s="70">
        <v>0</v>
      </c>
      <c r="AA13" s="108"/>
      <c r="AB13" s="108"/>
      <c r="AC13" s="108">
        <v>675</v>
      </c>
      <c r="AD13" s="70"/>
      <c r="AE13" s="70"/>
      <c r="AF13" s="70"/>
      <c r="AG13" s="70"/>
      <c r="AH13" s="165"/>
      <c r="AM13" s="210" t="s">
        <v>73</v>
      </c>
      <c r="AN13" s="210"/>
      <c r="AO13" s="210"/>
      <c r="AP13" s="210"/>
      <c r="AQ13" s="210"/>
      <c r="AR13" s="210"/>
      <c r="AS13" s="210"/>
      <c r="AT13" s="193">
        <v>3</v>
      </c>
      <c r="AU13" s="145"/>
      <c r="AV13" s="103" t="s">
        <v>112</v>
      </c>
      <c r="AX13" s="71">
        <f t="shared" si="0"/>
        <v>0</v>
      </c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6.5" customHeight="1" x14ac:dyDescent="0.25">
      <c r="B14" s="78" t="e">
        <f>VLOOKUP(B13,AE1:AF7,2,FALSE)</f>
        <v>#N/A</v>
      </c>
      <c r="C14" s="129"/>
      <c r="D14" s="79">
        <f>IF(C14&gt;T1,T1,C14)</f>
        <v>0</v>
      </c>
      <c r="E14" s="131"/>
      <c r="F14" s="192">
        <f>IF(E14=P1,1,0)</f>
        <v>0</v>
      </c>
      <c r="G14" s="69"/>
      <c r="H14" s="69"/>
      <c r="J14" s="161" t="s">
        <v>134</v>
      </c>
      <c r="L14" s="113"/>
      <c r="M14" s="69"/>
      <c r="O14" s="117"/>
      <c r="Z14" s="108"/>
      <c r="AA14" s="108"/>
      <c r="AB14" s="108"/>
      <c r="AC14" s="108"/>
      <c r="AD14" s="70"/>
      <c r="AE14" s="70"/>
      <c r="AF14" s="70"/>
      <c r="AG14" s="70"/>
      <c r="AH14" s="165"/>
      <c r="AM14" s="210" t="s">
        <v>74</v>
      </c>
      <c r="AN14" s="210"/>
      <c r="AO14" s="210"/>
      <c r="AP14" s="210"/>
      <c r="AQ14" s="210"/>
      <c r="AR14" s="210"/>
      <c r="AS14" s="210"/>
      <c r="AT14" s="193">
        <v>7</v>
      </c>
      <c r="AU14" s="145"/>
      <c r="AV14" s="103" t="s">
        <v>112</v>
      </c>
      <c r="AX14" s="71">
        <f t="shared" si="0"/>
        <v>0</v>
      </c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16.5" customHeight="1" thickBot="1" x14ac:dyDescent="0.3">
      <c r="A15" s="112"/>
      <c r="B15" s="88" t="e">
        <f>VLOOKUP(B14,AE1:AF7,2,FALSE)</f>
        <v>#N/A</v>
      </c>
      <c r="C15" s="130"/>
      <c r="D15" s="82">
        <f>IF(C15&gt;T1,T1,C15)</f>
        <v>0</v>
      </c>
      <c r="E15" s="132"/>
      <c r="F15" s="192">
        <f>IF(E15=P1,1,0)</f>
        <v>0</v>
      </c>
      <c r="G15" s="69"/>
      <c r="H15" s="69"/>
      <c r="J15" s="164" t="s">
        <v>57</v>
      </c>
      <c r="K15" s="70" t="e">
        <f>HLOOKUP(B3,R9:U18,7,FALSE)</f>
        <v>#N/A</v>
      </c>
      <c r="L15" s="70" t="e">
        <f>HLOOKUP(B3,V9:Y18,7,FALSE)</f>
        <v>#N/A</v>
      </c>
      <c r="M15" s="113"/>
      <c r="N15" s="119">
        <v>20</v>
      </c>
      <c r="O15" s="117">
        <f>IF(B3=K3,12,9)</f>
        <v>9</v>
      </c>
      <c r="R15" s="116">
        <v>100</v>
      </c>
      <c r="S15" s="116">
        <v>250</v>
      </c>
      <c r="T15" s="116">
        <v>30</v>
      </c>
      <c r="U15" s="116"/>
      <c r="V15" s="70">
        <v>0</v>
      </c>
      <c r="W15" s="70">
        <v>250</v>
      </c>
      <c r="Z15" s="108"/>
      <c r="AA15" s="70">
        <v>250</v>
      </c>
      <c r="AB15" s="108"/>
      <c r="AC15" s="108"/>
      <c r="AD15" s="70"/>
      <c r="AE15" s="70"/>
      <c r="AF15" s="70"/>
      <c r="AG15" s="70"/>
      <c r="AH15" s="165"/>
      <c r="AM15" s="210" t="s">
        <v>76</v>
      </c>
      <c r="AN15" s="210"/>
      <c r="AO15" s="210"/>
      <c r="AP15" s="210"/>
      <c r="AQ15" s="210"/>
      <c r="AR15" s="210"/>
      <c r="AS15" s="210"/>
      <c r="AT15" s="193">
        <v>7</v>
      </c>
      <c r="AU15" s="145"/>
      <c r="AV15" s="103" t="s">
        <v>112</v>
      </c>
      <c r="AX15" s="71">
        <f t="shared" si="0"/>
        <v>0</v>
      </c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4" ht="16.5" customHeight="1" x14ac:dyDescent="0.3">
      <c r="A16" s="183"/>
      <c r="C16" s="184" t="s">
        <v>128</v>
      </c>
      <c r="D16" s="198">
        <f>SUM(D7:D13)</f>
        <v>0</v>
      </c>
      <c r="E16" s="127">
        <f>SUM(F7:F15)</f>
        <v>0</v>
      </c>
      <c r="F16" s="80"/>
      <c r="G16" s="69"/>
      <c r="H16" s="69"/>
      <c r="J16" s="164" t="s">
        <v>55</v>
      </c>
      <c r="K16" s="70" t="e">
        <f>HLOOKUP(B3,R9:U18,8,FALSE)</f>
        <v>#N/A</v>
      </c>
      <c r="L16" s="70" t="e">
        <f>HLOOKUP(B3,V9:Y18,8,FALSE)</f>
        <v>#N/A</v>
      </c>
      <c r="M16" s="113"/>
      <c r="N16" s="119">
        <v>20</v>
      </c>
      <c r="O16" s="117">
        <f>IF(B3=K3,12,9)</f>
        <v>9</v>
      </c>
      <c r="R16" s="116">
        <v>100</v>
      </c>
      <c r="S16" s="116">
        <v>445</v>
      </c>
      <c r="T16" s="116">
        <v>30</v>
      </c>
      <c r="U16" s="116"/>
      <c r="V16" s="70">
        <v>0</v>
      </c>
      <c r="W16" s="70">
        <v>445</v>
      </c>
      <c r="Z16" s="108"/>
      <c r="AA16" s="108">
        <v>445</v>
      </c>
      <c r="AB16" s="108"/>
      <c r="AC16" s="108"/>
      <c r="AD16" s="70"/>
      <c r="AE16" s="70"/>
      <c r="AF16" s="70"/>
      <c r="AG16" s="70"/>
      <c r="AH16" s="165"/>
      <c r="AM16" s="210" t="s">
        <v>77</v>
      </c>
      <c r="AN16" s="210"/>
      <c r="AO16" s="210"/>
      <c r="AP16" s="210"/>
      <c r="AQ16" s="210"/>
      <c r="AR16" s="210"/>
      <c r="AS16" s="210"/>
      <c r="AT16" s="193">
        <v>2</v>
      </c>
      <c r="AU16" s="145"/>
      <c r="AV16" s="103" t="s">
        <v>112</v>
      </c>
      <c r="AX16" s="71">
        <f t="shared" si="0"/>
        <v>0</v>
      </c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ht="16.5" customHeight="1" thickBot="1" x14ac:dyDescent="0.3">
      <c r="A17" s="112"/>
      <c r="G17" s="69"/>
      <c r="H17" s="69"/>
      <c r="J17" s="164" t="s">
        <v>56</v>
      </c>
      <c r="K17" s="70" t="e">
        <f>HLOOKUP(B3,R9:U18,9,FALSE)</f>
        <v>#N/A</v>
      </c>
      <c r="L17" s="70" t="e">
        <f>HLOOKUP(B3,V9:Y18,9,FALSE)</f>
        <v>#N/A</v>
      </c>
      <c r="M17" s="113"/>
      <c r="N17" s="119">
        <v>40</v>
      </c>
      <c r="O17" s="117">
        <f>IF(B3=K3,24,18)</f>
        <v>18</v>
      </c>
      <c r="R17" s="116">
        <v>200</v>
      </c>
      <c r="S17" s="116">
        <v>625</v>
      </c>
      <c r="T17" s="116">
        <v>120</v>
      </c>
      <c r="U17" s="116"/>
      <c r="V17" s="70">
        <v>0</v>
      </c>
      <c r="W17" s="70">
        <v>625</v>
      </c>
      <c r="Z17" s="108"/>
      <c r="AA17" s="108">
        <v>625</v>
      </c>
      <c r="AB17" s="108"/>
      <c r="AC17" s="108"/>
      <c r="AD17" s="70"/>
      <c r="AE17" s="70"/>
      <c r="AF17" s="70"/>
      <c r="AG17" s="70"/>
      <c r="AH17" s="165"/>
      <c r="AM17" s="210" t="s">
        <v>78</v>
      </c>
      <c r="AN17" s="210"/>
      <c r="AO17" s="210"/>
      <c r="AP17" s="210"/>
      <c r="AQ17" s="210"/>
      <c r="AR17" s="210"/>
      <c r="AS17" s="210"/>
      <c r="AT17" s="193">
        <v>3</v>
      </c>
      <c r="AU17" s="145"/>
      <c r="AV17" s="103" t="s">
        <v>112</v>
      </c>
      <c r="AX17" s="71">
        <f t="shared" si="0"/>
        <v>0</v>
      </c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64" ht="16.5" customHeight="1" x14ac:dyDescent="0.25">
      <c r="A18" s="106" t="s">
        <v>13</v>
      </c>
      <c r="B18" s="76" t="s">
        <v>48</v>
      </c>
      <c r="C18" s="77" t="s">
        <v>10</v>
      </c>
      <c r="D18" s="128" t="s">
        <v>127</v>
      </c>
      <c r="E18" s="84" t="s">
        <v>10</v>
      </c>
      <c r="F18" s="85" t="s">
        <v>61</v>
      </c>
      <c r="G18" s="87" t="s">
        <v>70</v>
      </c>
      <c r="H18" s="69"/>
      <c r="J18" s="168" t="s">
        <v>132</v>
      </c>
      <c r="K18" s="169" t="e">
        <f>HLOOKUP(B3,R9:U18,10,FALSE)</f>
        <v>#N/A</v>
      </c>
      <c r="L18" s="169" t="e">
        <f>HLOOKUP(B3,V9:Y18,10,FALSE)</f>
        <v>#N/A</v>
      </c>
      <c r="M18" s="169"/>
      <c r="N18" s="170">
        <v>20</v>
      </c>
      <c r="O18" s="171">
        <v>12</v>
      </c>
      <c r="P18" s="136"/>
      <c r="Q18" s="136"/>
      <c r="R18" s="172">
        <v>100</v>
      </c>
      <c r="S18" s="172">
        <v>100</v>
      </c>
      <c r="T18" s="172">
        <v>30</v>
      </c>
      <c r="U18" s="172"/>
      <c r="V18" s="136">
        <v>0</v>
      </c>
      <c r="W18" s="136"/>
      <c r="X18" s="136"/>
      <c r="Y18" s="136"/>
      <c r="Z18" s="136"/>
      <c r="AA18" s="173"/>
      <c r="AB18" s="173"/>
      <c r="AC18" s="173"/>
      <c r="AD18" s="136"/>
      <c r="AE18" s="136"/>
      <c r="AF18" s="136"/>
      <c r="AG18" s="136"/>
      <c r="AH18" s="174"/>
      <c r="AM18" s="210" t="s">
        <v>79</v>
      </c>
      <c r="AN18" s="210"/>
      <c r="AO18" s="210"/>
      <c r="AP18" s="210"/>
      <c r="AQ18" s="210"/>
      <c r="AR18" s="210"/>
      <c r="AS18" s="210"/>
      <c r="AT18" s="73">
        <v>10</v>
      </c>
      <c r="AU18" s="145"/>
      <c r="AV18" s="103" t="s">
        <v>112</v>
      </c>
      <c r="AX18" s="71">
        <f t="shared" si="0"/>
        <v>0</v>
      </c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64" ht="16.5" customHeight="1" x14ac:dyDescent="0.25">
      <c r="A19" s="106"/>
      <c r="B19" s="78">
        <f t="shared" ref="B19:B27" si="1">B7</f>
        <v>0</v>
      </c>
      <c r="C19" s="139"/>
      <c r="D19" s="139">
        <v>1</v>
      </c>
      <c r="E19" s="79">
        <f>C19*D19</f>
        <v>0</v>
      </c>
      <c r="F19" s="86" t="e">
        <f>VLOOKUP(B19,AF1:AG7,2,FALSE)</f>
        <v>#N/A</v>
      </c>
      <c r="G19" s="73" t="e">
        <f>E19*F19</f>
        <v>#N/A</v>
      </c>
      <c r="H19" s="69"/>
      <c r="J19" s="156" t="s">
        <v>145</v>
      </c>
      <c r="K19" s="178" t="e">
        <f>HLOOKUP(B3,R9:U21,11,FALSE)</f>
        <v>#N/A</v>
      </c>
      <c r="L19" s="156"/>
      <c r="M19" s="156"/>
      <c r="N19" s="156"/>
      <c r="O19" s="156"/>
      <c r="P19" s="156"/>
      <c r="Q19" s="157"/>
      <c r="R19" s="157">
        <v>1</v>
      </c>
      <c r="S19" s="157">
        <v>1</v>
      </c>
      <c r="T19" s="157"/>
      <c r="U19" s="157"/>
      <c r="AM19" s="210" t="s">
        <v>80</v>
      </c>
      <c r="AN19" s="210"/>
      <c r="AO19" s="210"/>
      <c r="AP19" s="210"/>
      <c r="AQ19" s="210"/>
      <c r="AR19" s="210"/>
      <c r="AS19" s="210"/>
      <c r="AT19" s="73">
        <v>5</v>
      </c>
      <c r="AU19" s="145"/>
      <c r="AV19" s="103" t="s">
        <v>112</v>
      </c>
      <c r="AX19" s="71">
        <f t="shared" si="0"/>
        <v>0</v>
      </c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ht="16.5" customHeight="1" x14ac:dyDescent="0.25">
      <c r="A20" s="106"/>
      <c r="B20" s="78" t="e">
        <f t="shared" si="1"/>
        <v>#N/A</v>
      </c>
      <c r="C20" s="139"/>
      <c r="D20" s="139">
        <v>1</v>
      </c>
      <c r="E20" s="79">
        <f t="shared" ref="E20:E27" si="2">C20*D20</f>
        <v>0</v>
      </c>
      <c r="F20" s="86" t="e">
        <f>VLOOKUP(B20,AF1:AG7,2,FALSE)</f>
        <v>#N/A</v>
      </c>
      <c r="G20" s="73" t="e">
        <f t="shared" ref="G20:G27" si="3">E20*F20</f>
        <v>#N/A</v>
      </c>
      <c r="H20" s="69"/>
      <c r="J20" s="156" t="s">
        <v>144</v>
      </c>
      <c r="K20" s="180" t="e">
        <f>HLOOKUP(B3,R9:U21,12,FALSE)</f>
        <v>#N/A</v>
      </c>
      <c r="L20" s="156"/>
      <c r="M20" s="156"/>
      <c r="N20" s="156"/>
      <c r="O20" s="156"/>
      <c r="P20" s="156"/>
      <c r="Q20" s="157"/>
      <c r="R20" s="157"/>
      <c r="S20" s="157"/>
      <c r="T20" s="157"/>
      <c r="U20" s="157">
        <v>1</v>
      </c>
      <c r="AM20" s="210" t="s">
        <v>81</v>
      </c>
      <c r="AN20" s="210"/>
      <c r="AO20" s="210"/>
      <c r="AP20" s="210"/>
      <c r="AQ20" s="210"/>
      <c r="AR20" s="210"/>
      <c r="AS20" s="210"/>
      <c r="AT20" s="73">
        <v>5</v>
      </c>
      <c r="AU20" s="145"/>
      <c r="AV20" s="103" t="s">
        <v>112</v>
      </c>
      <c r="AX20" s="71">
        <f t="shared" si="0"/>
        <v>0</v>
      </c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64" ht="16.5" customHeight="1" x14ac:dyDescent="0.25">
      <c r="A21" s="106"/>
      <c r="B21" s="78" t="e">
        <f t="shared" si="1"/>
        <v>#N/A</v>
      </c>
      <c r="C21" s="139"/>
      <c r="D21" s="139">
        <v>1</v>
      </c>
      <c r="E21" s="79">
        <f t="shared" si="2"/>
        <v>0</v>
      </c>
      <c r="F21" s="86" t="e">
        <f>VLOOKUP(B21,AF1:AG7,2,FALSE)</f>
        <v>#N/A</v>
      </c>
      <c r="G21" s="73" t="e">
        <f t="shared" si="3"/>
        <v>#N/A</v>
      </c>
      <c r="H21" s="69"/>
      <c r="J21" s="156" t="s">
        <v>140</v>
      </c>
      <c r="K21" s="157" t="e">
        <f>HLOOKUP(B3,R9:U21,13,FALSE)</f>
        <v>#N/A</v>
      </c>
      <c r="L21" s="157"/>
      <c r="M21" s="157"/>
      <c r="N21" s="157"/>
      <c r="O21" s="157"/>
      <c r="P21" s="157"/>
      <c r="Q21" s="157"/>
      <c r="R21" s="157"/>
      <c r="S21" s="157"/>
      <c r="T21" s="157">
        <v>1</v>
      </c>
      <c r="U21" s="157"/>
      <c r="V21" s="155"/>
      <c r="AM21" s="210" t="s">
        <v>82</v>
      </c>
      <c r="AN21" s="210"/>
      <c r="AO21" s="210"/>
      <c r="AP21" s="210"/>
      <c r="AQ21" s="210"/>
      <c r="AR21" s="210"/>
      <c r="AS21" s="210"/>
      <c r="AT21" s="73">
        <v>2</v>
      </c>
      <c r="AU21" s="145"/>
      <c r="AV21" s="103" t="s">
        <v>112</v>
      </c>
      <c r="AX21" s="71">
        <f t="shared" si="0"/>
        <v>0</v>
      </c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</row>
    <row r="22" spans="1:64" ht="16.5" customHeight="1" x14ac:dyDescent="0.25">
      <c r="A22" s="106"/>
      <c r="B22" s="78" t="e">
        <f t="shared" si="1"/>
        <v>#N/A</v>
      </c>
      <c r="C22" s="139"/>
      <c r="D22" s="139">
        <v>1</v>
      </c>
      <c r="E22" s="79">
        <f t="shared" si="2"/>
        <v>0</v>
      </c>
      <c r="F22" s="86" t="e">
        <f>VLOOKUP(B22,AF1:AG7,2,FALSE)</f>
        <v>#N/A</v>
      </c>
      <c r="G22" s="73" t="e">
        <f t="shared" si="3"/>
        <v>#N/A</v>
      </c>
      <c r="H22" s="69"/>
      <c r="J22" s="70" t="s">
        <v>146</v>
      </c>
      <c r="K22" s="70" t="e">
        <f>HLOOKUP(B3,R9:U23,14,FALSE)</f>
        <v>#N/A</v>
      </c>
      <c r="R22" s="70">
        <v>1</v>
      </c>
      <c r="S22" s="70">
        <v>0</v>
      </c>
      <c r="T22" s="70">
        <v>1</v>
      </c>
      <c r="U22" s="70">
        <v>0</v>
      </c>
      <c r="AM22" s="210" t="s">
        <v>106</v>
      </c>
      <c r="AN22" s="210"/>
      <c r="AO22" s="210"/>
      <c r="AP22" s="210"/>
      <c r="AQ22" s="210"/>
      <c r="AR22" s="210"/>
      <c r="AS22" s="210"/>
      <c r="AT22" s="73">
        <v>15</v>
      </c>
      <c r="AU22" s="145"/>
      <c r="AV22" s="103" t="s">
        <v>114</v>
      </c>
      <c r="AW22" s="109"/>
      <c r="AX22" s="71">
        <f>AT22*AU22*AW22</f>
        <v>0</v>
      </c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64" ht="16.5" customHeight="1" x14ac:dyDescent="0.25">
      <c r="A23" s="106"/>
      <c r="B23" s="78" t="e">
        <f t="shared" si="1"/>
        <v>#N/A</v>
      </c>
      <c r="C23" s="139"/>
      <c r="D23" s="139">
        <v>1</v>
      </c>
      <c r="E23" s="79">
        <f t="shared" si="2"/>
        <v>0</v>
      </c>
      <c r="F23" s="86" t="e">
        <f>VLOOKUP(B23,AF1:AG7,2,FALSE)</f>
        <v>#N/A</v>
      </c>
      <c r="G23" s="73" t="e">
        <f t="shared" si="3"/>
        <v>#N/A</v>
      </c>
      <c r="H23" s="69"/>
      <c r="J23" s="70" t="s">
        <v>147</v>
      </c>
      <c r="K23" s="70" t="e">
        <f>HLOOKUP(B3,R9:U23,15,FALSE)</f>
        <v>#N/A</v>
      </c>
      <c r="R23" s="70">
        <v>0</v>
      </c>
      <c r="S23" s="70">
        <v>1</v>
      </c>
      <c r="T23" s="70">
        <v>0</v>
      </c>
      <c r="U23" s="70">
        <v>1</v>
      </c>
      <c r="AM23" s="210" t="s">
        <v>85</v>
      </c>
      <c r="AN23" s="210"/>
      <c r="AO23" s="210"/>
      <c r="AP23" s="210"/>
      <c r="AQ23" s="210"/>
      <c r="AR23" s="210"/>
      <c r="AS23" s="210"/>
      <c r="AT23" s="73">
        <v>10</v>
      </c>
      <c r="AU23" s="145"/>
      <c r="AV23" s="103" t="s">
        <v>114</v>
      </c>
      <c r="AW23" s="109"/>
      <c r="AX23" s="71">
        <f>AT23*AU23*AW23</f>
        <v>0</v>
      </c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64" ht="16.5" customHeight="1" x14ac:dyDescent="0.25">
      <c r="A24" s="106"/>
      <c r="B24" s="78" t="e">
        <f t="shared" si="1"/>
        <v>#N/A</v>
      </c>
      <c r="C24" s="139"/>
      <c r="D24" s="139">
        <v>1</v>
      </c>
      <c r="E24" s="79">
        <f t="shared" si="2"/>
        <v>0</v>
      </c>
      <c r="F24" s="86" t="e">
        <f>VLOOKUP(B24,AF1:AG7,2,FALSE)</f>
        <v>#N/A</v>
      </c>
      <c r="G24" s="73" t="e">
        <f t="shared" si="3"/>
        <v>#N/A</v>
      </c>
      <c r="H24" s="69"/>
      <c r="AM24" s="210" t="s">
        <v>87</v>
      </c>
      <c r="AN24" s="210"/>
      <c r="AO24" s="210"/>
      <c r="AP24" s="210"/>
      <c r="AQ24" s="210"/>
      <c r="AR24" s="210"/>
      <c r="AS24" s="210"/>
      <c r="AT24" s="73">
        <v>5</v>
      </c>
      <c r="AU24" s="145"/>
      <c r="AV24" s="103" t="s">
        <v>114</v>
      </c>
      <c r="AW24" s="109"/>
      <c r="AX24" s="71">
        <f>AT24*AU24*AW24</f>
        <v>0</v>
      </c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64" ht="16.5" customHeight="1" x14ac:dyDescent="0.25">
      <c r="A25" s="106"/>
      <c r="B25" s="78" t="e">
        <f t="shared" si="1"/>
        <v>#N/A</v>
      </c>
      <c r="C25" s="139"/>
      <c r="D25" s="139">
        <v>1</v>
      </c>
      <c r="E25" s="79">
        <f t="shared" si="2"/>
        <v>0</v>
      </c>
      <c r="F25" s="86" t="e">
        <f>VLOOKUP(B25,AF1:AG7,2,FALSE)</f>
        <v>#N/A</v>
      </c>
      <c r="G25" s="73" t="e">
        <f t="shared" si="3"/>
        <v>#N/A</v>
      </c>
      <c r="H25" s="69"/>
      <c r="J25" s="4" t="str">
        <f>J6</f>
        <v>CC Guldenberg</v>
      </c>
      <c r="K25" s="70" t="e">
        <f>K35</f>
        <v>#N/A</v>
      </c>
      <c r="L25" s="70" t="e">
        <f>K36</f>
        <v>#N/A</v>
      </c>
      <c r="M25" s="4" t="e">
        <f>VLOOKUP(B1,J15:AH18,4,FALSE)</f>
        <v>#N/A</v>
      </c>
      <c r="N25" s="4" t="e">
        <f>VLOOKUP(B1,J15:AH18,5,FALSE)</f>
        <v>#N/A</v>
      </c>
      <c r="O25" s="4" t="e">
        <f>VLOOKUP(B1,J15:AH18,6,FALSE)</f>
        <v>#N/A</v>
      </c>
      <c r="P25" s="4" t="e">
        <f>VLOOKUP(B1,J15:AH18,7,FALSE)</f>
        <v>#N/A</v>
      </c>
      <c r="Q25" s="70" t="e">
        <f>VLOOKUP(B1,J15:AH18,8,FALSE)</f>
        <v>#N/A</v>
      </c>
      <c r="AM25" s="210" t="s">
        <v>89</v>
      </c>
      <c r="AN25" s="210"/>
      <c r="AO25" s="210"/>
      <c r="AP25" s="210"/>
      <c r="AQ25" s="210"/>
      <c r="AR25" s="210"/>
      <c r="AS25" s="210"/>
      <c r="AT25" s="73">
        <v>3</v>
      </c>
      <c r="AU25" s="145"/>
      <c r="AV25" s="103" t="s">
        <v>112</v>
      </c>
      <c r="AX25" s="71">
        <f>AT25*AU25</f>
        <v>0</v>
      </c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64" ht="16.5" customHeight="1" x14ac:dyDescent="0.25">
      <c r="B26" s="78" t="e">
        <f t="shared" si="1"/>
        <v>#N/A</v>
      </c>
      <c r="C26" s="139"/>
      <c r="D26" s="139">
        <v>1</v>
      </c>
      <c r="E26" s="79">
        <f t="shared" si="2"/>
        <v>0</v>
      </c>
      <c r="F26" s="86" t="e">
        <f>VLOOKUP(B26,AF1:AG7,2,FALSE)</f>
        <v>#N/A</v>
      </c>
      <c r="G26" s="73" t="e">
        <f t="shared" si="3"/>
        <v>#N/A</v>
      </c>
      <c r="H26" s="69"/>
      <c r="J26" s="4" t="str">
        <f>J7</f>
        <v>OC de Stekke of OC de Cerf</v>
      </c>
      <c r="K26" s="4" t="e">
        <f>K30</f>
        <v>#N/A</v>
      </c>
      <c r="L26" s="4" t="e">
        <f>K31</f>
        <v>#N/A</v>
      </c>
      <c r="M26" s="4" t="e">
        <f>VLOOKUP(B1,J9:AH13,4,FALSE)</f>
        <v>#N/A</v>
      </c>
      <c r="N26" s="4" t="e">
        <f>VLOOKUP(B1,J9:AH13,5,FALSE)</f>
        <v>#N/A</v>
      </c>
      <c r="O26" s="4" t="e">
        <f>VLOOKUP(B1,J9:AH13,6,FALSE)</f>
        <v>#N/A</v>
      </c>
      <c r="P26" s="4"/>
      <c r="AM26" s="210" t="s">
        <v>90</v>
      </c>
      <c r="AN26" s="210"/>
      <c r="AO26" s="210"/>
      <c r="AP26" s="210"/>
      <c r="AQ26" s="210"/>
      <c r="AR26" s="210"/>
      <c r="AS26" s="210"/>
      <c r="AT26" s="73">
        <v>15</v>
      </c>
      <c r="AU26" s="145"/>
      <c r="AV26" s="103" t="s">
        <v>112</v>
      </c>
      <c r="AX26" s="71">
        <f>AT26*AU26</f>
        <v>0</v>
      </c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64" ht="16.5" customHeight="1" x14ac:dyDescent="0.25">
      <c r="B27" s="78" t="e">
        <f t="shared" si="1"/>
        <v>#N/A</v>
      </c>
      <c r="C27" s="139"/>
      <c r="D27" s="139">
        <v>1</v>
      </c>
      <c r="E27" s="79">
        <f t="shared" si="2"/>
        <v>0</v>
      </c>
      <c r="F27" s="86" t="e">
        <f>VLOOKUP(B27,AF1:AG7,2,FALSE)</f>
        <v>#N/A</v>
      </c>
      <c r="G27" s="73" t="e">
        <f t="shared" si="3"/>
        <v>#N/A</v>
      </c>
      <c r="H27" s="69"/>
      <c r="AM27" s="210" t="s">
        <v>131</v>
      </c>
      <c r="AN27" s="210"/>
      <c r="AO27" s="210"/>
      <c r="AP27" s="210"/>
      <c r="AQ27" s="210"/>
      <c r="AR27" s="210"/>
      <c r="AS27" s="210"/>
      <c r="AT27" s="73">
        <v>10</v>
      </c>
      <c r="AU27" s="145"/>
      <c r="AV27" s="103" t="s">
        <v>114</v>
      </c>
      <c r="AW27" s="109"/>
      <c r="AX27" s="71">
        <f>AT27*AU27*AW27</f>
        <v>0</v>
      </c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64" ht="16.5" customHeight="1" thickBot="1" x14ac:dyDescent="0.3">
      <c r="A28" s="87" t="s">
        <v>15</v>
      </c>
      <c r="B28" s="88"/>
      <c r="C28" s="140"/>
      <c r="D28" s="140">
        <v>1</v>
      </c>
      <c r="E28" s="82">
        <f>C28*D28</f>
        <v>0</v>
      </c>
      <c r="F28" s="89" t="e">
        <f>F25-20</f>
        <v>#N/A</v>
      </c>
      <c r="G28" s="73" t="e">
        <f>E28*F28</f>
        <v>#N/A</v>
      </c>
      <c r="H28" s="69"/>
      <c r="J28" s="70" t="s">
        <v>148</v>
      </c>
      <c r="AM28" s="210" t="s">
        <v>107</v>
      </c>
      <c r="AN28" s="210"/>
      <c r="AO28" s="210"/>
      <c r="AP28" s="210"/>
      <c r="AQ28" s="210"/>
      <c r="AR28" s="210"/>
      <c r="AS28" s="210"/>
      <c r="AT28" s="73">
        <v>25</v>
      </c>
      <c r="AU28" s="145"/>
      <c r="AV28" s="103" t="s">
        <v>114</v>
      </c>
      <c r="AW28" s="109"/>
      <c r="AX28" s="71">
        <f>AT28*AU28*AW28</f>
        <v>0</v>
      </c>
      <c r="AY28" s="110">
        <f>IF(AU29&gt;0,1,0)</f>
        <v>0</v>
      </c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64" ht="16.5" customHeight="1" x14ac:dyDescent="0.25">
      <c r="A29" s="69"/>
      <c r="B29" s="73"/>
      <c r="C29" s="74"/>
      <c r="D29" s="74"/>
      <c r="E29" s="73"/>
      <c r="F29" s="73" t="s">
        <v>18</v>
      </c>
      <c r="G29" s="149" t="e">
        <f>SUM(G19:G28)</f>
        <v>#N/A</v>
      </c>
      <c r="H29" s="69"/>
      <c r="J29" s="161" t="s">
        <v>137</v>
      </c>
      <c r="L29" s="181" t="s">
        <v>151</v>
      </c>
      <c r="M29" s="181" t="s">
        <v>152</v>
      </c>
      <c r="N29" s="70" t="s">
        <v>153</v>
      </c>
      <c r="O29" s="70" t="s">
        <v>154</v>
      </c>
      <c r="AM29" s="210" t="s">
        <v>108</v>
      </c>
      <c r="AN29" s="210"/>
      <c r="AO29" s="210"/>
      <c r="AP29" s="210"/>
      <c r="AQ29" s="210"/>
      <c r="AR29" s="210"/>
      <c r="AS29" s="210"/>
      <c r="AT29" s="73">
        <v>100</v>
      </c>
      <c r="AU29" s="145"/>
      <c r="AV29" s="103" t="s">
        <v>114</v>
      </c>
      <c r="AW29" s="109"/>
      <c r="AX29" s="71">
        <f>AT29*AU29*AW29+80*AY28</f>
        <v>0</v>
      </c>
      <c r="AY29" s="71" t="s">
        <v>98</v>
      </c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64" ht="16.5" customHeight="1" x14ac:dyDescent="0.25">
      <c r="A30" s="69"/>
      <c r="B30" s="73"/>
      <c r="C30" s="74"/>
      <c r="D30" s="74"/>
      <c r="E30" s="73"/>
      <c r="F30" s="73"/>
      <c r="G30" s="69"/>
      <c r="H30" s="69"/>
      <c r="J30" s="164" t="s">
        <v>149</v>
      </c>
      <c r="K30" s="70" t="e">
        <f>(N30*K19)+(K20*L30)+K21*O30</f>
        <v>#N/A</v>
      </c>
      <c r="L30" s="177" t="e">
        <f>VLOOKUP(B1,J10:K13,2,FALSE)*E16</f>
        <v>#N/A</v>
      </c>
      <c r="M30" s="177" t="e">
        <f>D5*D16</f>
        <v>#N/A</v>
      </c>
      <c r="N30" s="179" t="e">
        <f>IF(M30&gt;L30,M30,L30)</f>
        <v>#N/A</v>
      </c>
      <c r="O30" s="70" t="e">
        <f>VLOOKUP(B1,J10:U13,11,FALSE)</f>
        <v>#N/A</v>
      </c>
      <c r="AM30" s="210" t="s">
        <v>109</v>
      </c>
      <c r="AN30" s="210"/>
      <c r="AO30" s="210"/>
      <c r="AP30" s="210"/>
      <c r="AQ30" s="210"/>
      <c r="AR30" s="210"/>
      <c r="AS30" s="210"/>
      <c r="AT30" s="73">
        <v>10</v>
      </c>
      <c r="AU30" s="145"/>
      <c r="AV30" s="103" t="s">
        <v>114</v>
      </c>
      <c r="AW30" s="109"/>
      <c r="AX30" s="71">
        <f>AT30*AU30*AW30</f>
        <v>0</v>
      </c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64" ht="16.5" customHeight="1" x14ac:dyDescent="0.35">
      <c r="A31" s="93" t="s">
        <v>11</v>
      </c>
      <c r="B31" s="94" t="e">
        <f>VLOOKUP(B2,J25:K26,2,FALSE)</f>
        <v>#N/A</v>
      </c>
      <c r="C31" s="135" t="s">
        <v>45</v>
      </c>
      <c r="D31" s="74"/>
      <c r="E31" s="73"/>
      <c r="F31" s="73"/>
      <c r="G31" s="69"/>
      <c r="H31" s="69"/>
      <c r="J31" s="164" t="s">
        <v>155</v>
      </c>
      <c r="K31" s="70" t="e">
        <f>L31*E16</f>
        <v>#N/A</v>
      </c>
      <c r="L31" s="70" t="e">
        <f>VLOOKUP(B1,J10:L13,3,FALSE)</f>
        <v>#N/A</v>
      </c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64" ht="16.5" customHeight="1" x14ac:dyDescent="0.35">
      <c r="A32" s="137"/>
      <c r="B32" s="138"/>
      <c r="C32" s="135"/>
      <c r="D32" s="74"/>
      <c r="E32" s="73"/>
      <c r="F32" s="73"/>
      <c r="G32" s="69"/>
      <c r="H32" s="69"/>
      <c r="J32" s="164"/>
      <c r="AE32" s="118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5" ht="21" x14ac:dyDescent="0.35">
      <c r="A33" s="137" t="s">
        <v>129</v>
      </c>
      <c r="B33" s="150" t="e">
        <f>VLOOKUP(B2,J25:L26,3,FALSE)</f>
        <v>#N/A</v>
      </c>
      <c r="C33" s="135" t="s">
        <v>45</v>
      </c>
      <c r="D33" s="74"/>
      <c r="E33" s="73"/>
      <c r="F33" s="73"/>
      <c r="G33" s="69"/>
      <c r="H33" s="69"/>
      <c r="J33" s="167"/>
      <c r="AA33" s="72"/>
      <c r="AB33" s="90"/>
      <c r="AC33" s="90"/>
      <c r="AD33" s="90"/>
      <c r="AE33" s="90"/>
      <c r="AF33" s="90"/>
      <c r="AG33" s="91"/>
      <c r="AH33" s="90"/>
      <c r="AI33" s="90"/>
      <c r="AJ33" s="9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5" ht="18.75" x14ac:dyDescent="0.3">
      <c r="A34" s="111" t="s">
        <v>14</v>
      </c>
      <c r="B34" s="151" t="e">
        <f>D16*D5</f>
        <v>#N/A</v>
      </c>
      <c r="C34" s="135" t="s">
        <v>45</v>
      </c>
      <c r="D34" s="74"/>
      <c r="E34" s="73"/>
      <c r="F34" s="73"/>
      <c r="G34" s="69"/>
      <c r="H34" s="69"/>
      <c r="J34" s="161" t="s">
        <v>134</v>
      </c>
      <c r="AN34" s="118"/>
      <c r="AO34" s="83"/>
      <c r="AP34" s="83"/>
      <c r="AQ34" s="118"/>
      <c r="AR34" s="118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W34" s="108"/>
    </row>
    <row r="35" spans="1:75" s="75" customFormat="1" ht="18.75" x14ac:dyDescent="0.3">
      <c r="A35" s="111" t="s">
        <v>67</v>
      </c>
      <c r="B35" s="185" t="e">
        <f>G29</f>
        <v>#N/A</v>
      </c>
      <c r="C35" s="135" t="s">
        <v>45</v>
      </c>
      <c r="D35" s="74"/>
      <c r="E35" s="73"/>
      <c r="F35" s="73"/>
      <c r="G35" s="69"/>
      <c r="H35" s="69"/>
      <c r="I35" s="70"/>
      <c r="J35" s="164" t="s">
        <v>150</v>
      </c>
      <c r="K35" s="70" t="e">
        <f>(N35*K19)+(K20*L35)+K21*O35</f>
        <v>#N/A</v>
      </c>
      <c r="L35" s="70" t="e">
        <f>VLOOKUP(B1,J15:K18,2,FALSE)*E16</f>
        <v>#N/A</v>
      </c>
      <c r="M35" s="70" t="e">
        <f>D16*D5</f>
        <v>#N/A</v>
      </c>
      <c r="N35" s="70" t="e">
        <f>IF(M35&gt;L35,M35,L35)</f>
        <v>#N/A</v>
      </c>
      <c r="O35" s="70" t="e">
        <f>VLOOKUP(B1,J15:U18,11,FALSE)</f>
        <v>#N/A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U35" s="141"/>
    </row>
    <row r="36" spans="1:75" ht="18.75" x14ac:dyDescent="0.3">
      <c r="A36" s="111" t="s">
        <v>68</v>
      </c>
      <c r="B36" s="186">
        <f>SUM(AX7:AX30)</f>
        <v>0</v>
      </c>
      <c r="C36" s="135" t="s">
        <v>45</v>
      </c>
      <c r="D36" s="74"/>
      <c r="E36" s="73"/>
      <c r="F36" s="73"/>
      <c r="G36" s="69"/>
      <c r="H36" s="69"/>
      <c r="J36" s="164" t="s">
        <v>155</v>
      </c>
      <c r="K36" s="70" t="e">
        <f>E16*L36</f>
        <v>#N/A</v>
      </c>
      <c r="L36" s="70" t="e">
        <f>VLOOKUP(B1,J15:L18,3,FALSE)</f>
        <v>#N/A</v>
      </c>
    </row>
    <row r="37" spans="1:75" ht="21" x14ac:dyDescent="0.35">
      <c r="A37" s="93" t="s">
        <v>122</v>
      </c>
      <c r="B37" s="94" t="e">
        <f>SUM(B33:B36)</f>
        <v>#N/A</v>
      </c>
      <c r="C37" s="135" t="s">
        <v>45</v>
      </c>
      <c r="D37" s="74"/>
      <c r="E37" s="73"/>
      <c r="F37" s="73"/>
      <c r="G37" s="69"/>
      <c r="H37" s="69"/>
      <c r="J37" s="164"/>
      <c r="AH37" s="90"/>
    </row>
    <row r="38" spans="1:75" ht="21.75" thickBot="1" x14ac:dyDescent="0.4">
      <c r="A38" s="93" t="s">
        <v>130</v>
      </c>
      <c r="B38" s="187" t="e">
        <f>B31</f>
        <v>#N/A</v>
      </c>
      <c r="C38" s="135"/>
      <c r="D38" s="74"/>
      <c r="E38" s="73"/>
      <c r="F38" s="73"/>
      <c r="G38" s="69"/>
      <c r="H38" s="69"/>
      <c r="J38" s="168"/>
    </row>
    <row r="39" spans="1:75" ht="21.75" thickTop="1" x14ac:dyDescent="0.35">
      <c r="A39" s="124" t="s">
        <v>69</v>
      </c>
      <c r="B39" s="125" t="e">
        <f>IF(D39&gt;0,D39,0)</f>
        <v>#N/A</v>
      </c>
      <c r="C39" s="135" t="s">
        <v>45</v>
      </c>
      <c r="D39" s="182" t="e">
        <f>B37-B31</f>
        <v>#N/A</v>
      </c>
      <c r="E39" s="73"/>
      <c r="F39" s="73"/>
      <c r="G39" s="69"/>
      <c r="H39" s="69"/>
      <c r="AH39" s="90"/>
    </row>
    <row r="40" spans="1:75" x14ac:dyDescent="0.25">
      <c r="A40" s="87"/>
      <c r="B40" s="92"/>
      <c r="C40" s="74"/>
      <c r="D40" s="74"/>
      <c r="E40" s="73"/>
      <c r="F40" s="73"/>
      <c r="G40" s="69"/>
      <c r="H40" s="69"/>
    </row>
    <row r="41" spans="1:75" x14ac:dyDescent="0.25">
      <c r="H41" s="69"/>
    </row>
    <row r="42" spans="1:75" x14ac:dyDescent="0.25">
      <c r="H42" s="69"/>
    </row>
    <row r="43" spans="1:75" x14ac:dyDescent="0.25">
      <c r="H43" s="69"/>
    </row>
    <row r="44" spans="1:75" x14ac:dyDescent="0.25">
      <c r="A44" s="87"/>
      <c r="B44" s="92"/>
      <c r="C44" s="74"/>
      <c r="D44" s="74"/>
      <c r="E44" s="73"/>
      <c r="F44" s="73"/>
      <c r="G44" s="69"/>
      <c r="H44" s="69"/>
    </row>
    <row r="45" spans="1:75" x14ac:dyDescent="0.25">
      <c r="H45" s="118"/>
      <c r="AK45" s="141"/>
      <c r="AL45" s="69"/>
      <c r="AM45" s="75"/>
      <c r="AN45" s="75"/>
      <c r="AO45" s="75"/>
      <c r="AP45" s="75"/>
    </row>
    <row r="46" spans="1:75" ht="15.75" x14ac:dyDescent="0.25">
      <c r="A46" s="210"/>
      <c r="B46" s="210"/>
      <c r="C46" s="210"/>
      <c r="D46" s="210"/>
      <c r="E46" s="210"/>
      <c r="F46" s="210"/>
      <c r="G46" s="210"/>
      <c r="H46" s="118"/>
      <c r="AK46" s="142"/>
      <c r="AL46" s="143"/>
      <c r="AM46" s="75"/>
      <c r="AN46" s="75"/>
      <c r="AO46" s="75"/>
      <c r="AP46" s="75"/>
    </row>
    <row r="47" spans="1:75" ht="15.75" x14ac:dyDescent="0.25">
      <c r="A47" s="210"/>
      <c r="B47" s="210"/>
      <c r="C47" s="210"/>
      <c r="D47" s="210"/>
      <c r="E47" s="210"/>
      <c r="F47" s="210"/>
      <c r="G47" s="210"/>
      <c r="H47" s="118"/>
      <c r="AK47" s="142"/>
      <c r="AL47" s="143"/>
      <c r="AM47" s="75"/>
      <c r="AN47" s="75"/>
      <c r="AO47" s="75"/>
      <c r="AP47" s="75"/>
    </row>
    <row r="48" spans="1:75" ht="15.75" x14ac:dyDescent="0.25">
      <c r="A48" s="210"/>
      <c r="B48" s="210"/>
      <c r="C48" s="210"/>
      <c r="D48" s="210"/>
      <c r="E48" s="210"/>
      <c r="F48" s="210"/>
      <c r="G48" s="210"/>
      <c r="H48" s="118"/>
      <c r="AK48" s="142"/>
      <c r="AL48" s="143"/>
      <c r="AM48" s="75"/>
      <c r="AN48" s="75"/>
      <c r="AO48" s="75"/>
      <c r="AP48" s="75"/>
    </row>
    <row r="49" spans="1:42" ht="15.75" x14ac:dyDescent="0.25">
      <c r="A49" s="210"/>
      <c r="B49" s="210"/>
      <c r="C49" s="210"/>
      <c r="D49" s="210"/>
      <c r="E49" s="210"/>
      <c r="F49" s="210"/>
      <c r="G49" s="210"/>
      <c r="H49" s="118"/>
      <c r="AK49" s="142"/>
      <c r="AL49" s="143"/>
      <c r="AM49" s="75"/>
      <c r="AN49" s="75"/>
      <c r="AO49" s="75"/>
      <c r="AP49" s="75"/>
    </row>
    <row r="50" spans="1:42" ht="15.75" x14ac:dyDescent="0.25">
      <c r="A50" s="210"/>
      <c r="B50" s="210"/>
      <c r="C50" s="210"/>
      <c r="D50" s="210"/>
      <c r="E50" s="210"/>
      <c r="F50" s="210"/>
      <c r="G50" s="210"/>
      <c r="H50" s="118"/>
      <c r="AK50" s="142"/>
      <c r="AL50" s="143"/>
      <c r="AM50" s="75"/>
      <c r="AN50" s="75"/>
      <c r="AO50" s="75"/>
      <c r="AP50" s="75"/>
    </row>
    <row r="51" spans="1:42" ht="15.75" x14ac:dyDescent="0.25">
      <c r="A51" s="210"/>
      <c r="B51" s="210"/>
      <c r="C51" s="210"/>
      <c r="D51" s="210"/>
      <c r="E51" s="210"/>
      <c r="F51" s="210"/>
      <c r="G51" s="210"/>
      <c r="H51" s="118"/>
      <c r="AK51" s="142"/>
      <c r="AL51" s="143"/>
      <c r="AM51" s="75"/>
      <c r="AN51" s="75"/>
      <c r="AO51" s="75"/>
      <c r="AP51" s="75"/>
    </row>
    <row r="52" spans="1:42" ht="15.75" x14ac:dyDescent="0.25">
      <c r="A52" s="210"/>
      <c r="B52" s="210"/>
      <c r="C52" s="210"/>
      <c r="D52" s="210"/>
      <c r="E52" s="210"/>
      <c r="F52" s="210"/>
      <c r="G52" s="210"/>
      <c r="H52" s="118"/>
      <c r="AK52" s="142"/>
      <c r="AL52" s="143"/>
      <c r="AM52" s="75"/>
      <c r="AN52" s="75"/>
      <c r="AO52" s="75"/>
      <c r="AP52" s="75"/>
    </row>
    <row r="53" spans="1:42" ht="15.75" x14ac:dyDescent="0.25">
      <c r="A53" s="210"/>
      <c r="B53" s="210"/>
      <c r="C53" s="210"/>
      <c r="D53" s="210"/>
      <c r="E53" s="210"/>
      <c r="F53" s="210"/>
      <c r="G53" s="210"/>
      <c r="H53" s="118"/>
      <c r="AK53" s="142"/>
      <c r="AL53" s="143"/>
      <c r="AM53" s="75"/>
      <c r="AN53" s="75"/>
      <c r="AO53" s="75"/>
      <c r="AP53" s="75"/>
    </row>
    <row r="54" spans="1:42" ht="15.75" x14ac:dyDescent="0.25">
      <c r="A54" s="210"/>
      <c r="B54" s="210"/>
      <c r="C54" s="210"/>
      <c r="D54" s="210"/>
      <c r="E54" s="210"/>
      <c r="F54" s="210"/>
      <c r="G54" s="210"/>
      <c r="H54" s="118"/>
      <c r="AK54" s="142"/>
      <c r="AL54" s="143"/>
      <c r="AM54" s="75"/>
      <c r="AN54" s="75"/>
      <c r="AO54" s="75"/>
      <c r="AP54" s="75"/>
    </row>
    <row r="55" spans="1:42" ht="15.75" x14ac:dyDescent="0.25">
      <c r="A55" s="210"/>
      <c r="B55" s="210"/>
      <c r="C55" s="210"/>
      <c r="D55" s="210"/>
      <c r="E55" s="210"/>
      <c r="F55" s="210"/>
      <c r="G55" s="210"/>
      <c r="H55" s="118"/>
      <c r="AK55" s="142"/>
      <c r="AL55" s="143"/>
      <c r="AM55" s="75"/>
      <c r="AN55" s="75"/>
      <c r="AO55" s="75"/>
      <c r="AP55" s="75"/>
    </row>
    <row r="56" spans="1:42" ht="15.75" x14ac:dyDescent="0.25">
      <c r="A56" s="210"/>
      <c r="B56" s="210"/>
      <c r="C56" s="210"/>
      <c r="D56" s="210"/>
      <c r="E56" s="210"/>
      <c r="F56" s="210"/>
      <c r="G56" s="210"/>
      <c r="H56" s="118"/>
      <c r="AK56" s="147"/>
      <c r="AL56" s="147"/>
      <c r="AM56" s="75"/>
      <c r="AN56" s="75"/>
      <c r="AO56" s="75"/>
      <c r="AP56" s="75"/>
    </row>
    <row r="57" spans="1:42" ht="15.75" x14ac:dyDescent="0.25">
      <c r="A57" s="210"/>
      <c r="B57" s="210"/>
      <c r="C57" s="210"/>
      <c r="D57" s="210"/>
      <c r="E57" s="210"/>
      <c r="F57" s="210"/>
      <c r="G57" s="210"/>
      <c r="H57" s="73"/>
      <c r="AK57" s="147"/>
      <c r="AL57" s="147"/>
      <c r="AM57" s="75"/>
      <c r="AN57" s="75"/>
      <c r="AO57" s="75"/>
      <c r="AP57" s="75"/>
    </row>
    <row r="58" spans="1:42" ht="15.75" x14ac:dyDescent="0.25">
      <c r="A58" s="210"/>
      <c r="B58" s="210"/>
      <c r="C58" s="210"/>
      <c r="D58" s="210"/>
      <c r="E58" s="210"/>
      <c r="F58" s="210"/>
      <c r="G58" s="210"/>
      <c r="H58" s="73"/>
      <c r="AK58" s="147"/>
      <c r="AL58" s="147"/>
      <c r="AM58" s="75"/>
      <c r="AN58" s="75"/>
      <c r="AO58" s="75"/>
      <c r="AP58" s="75"/>
    </row>
    <row r="59" spans="1:42" ht="15.75" x14ac:dyDescent="0.25">
      <c r="A59" s="210"/>
      <c r="B59" s="210"/>
      <c r="C59" s="210"/>
      <c r="D59" s="210"/>
      <c r="E59" s="210"/>
      <c r="F59" s="210"/>
      <c r="G59" s="210"/>
      <c r="H59" s="73"/>
      <c r="AK59" s="147"/>
      <c r="AL59" s="147"/>
      <c r="AM59" s="75"/>
      <c r="AN59" s="75"/>
      <c r="AO59" s="75"/>
      <c r="AP59" s="75"/>
    </row>
    <row r="60" spans="1:42" ht="15.75" x14ac:dyDescent="0.25">
      <c r="A60" s="210"/>
      <c r="B60" s="210"/>
      <c r="C60" s="210"/>
      <c r="D60" s="210"/>
      <c r="E60" s="210"/>
      <c r="F60" s="210"/>
      <c r="G60" s="210"/>
      <c r="H60" s="73"/>
      <c r="AK60" s="147"/>
      <c r="AL60" s="147"/>
      <c r="AM60" s="75"/>
      <c r="AN60" s="75"/>
      <c r="AO60" s="75"/>
      <c r="AP60" s="75"/>
    </row>
    <row r="61" spans="1:42" ht="15.75" x14ac:dyDescent="0.25">
      <c r="A61" s="210"/>
      <c r="B61" s="210"/>
      <c r="C61" s="210"/>
      <c r="D61" s="210"/>
      <c r="E61" s="210"/>
      <c r="F61" s="210"/>
      <c r="G61" s="210"/>
      <c r="H61" s="73"/>
      <c r="AK61" s="147"/>
      <c r="AL61" s="147"/>
      <c r="AM61" s="75"/>
      <c r="AN61" s="75"/>
      <c r="AO61" s="75"/>
      <c r="AP61" s="75"/>
    </row>
    <row r="62" spans="1:42" ht="15.75" x14ac:dyDescent="0.25">
      <c r="A62" s="210"/>
      <c r="B62" s="210"/>
      <c r="C62" s="210"/>
      <c r="D62" s="210"/>
      <c r="E62" s="210"/>
      <c r="F62" s="210"/>
      <c r="G62" s="210"/>
      <c r="H62" s="73"/>
      <c r="AK62" s="147"/>
      <c r="AL62" s="147"/>
      <c r="AM62" s="75"/>
      <c r="AN62" s="75"/>
      <c r="AO62" s="75"/>
      <c r="AP62" s="75"/>
    </row>
    <row r="63" spans="1:42" ht="15.75" x14ac:dyDescent="0.25">
      <c r="A63" s="210"/>
      <c r="B63" s="210"/>
      <c r="C63" s="210"/>
      <c r="D63" s="210"/>
      <c r="E63" s="210"/>
      <c r="F63" s="210"/>
      <c r="G63" s="210"/>
      <c r="H63" s="73"/>
      <c r="AK63" s="147"/>
      <c r="AL63" s="147"/>
      <c r="AM63" s="75"/>
      <c r="AN63" s="75"/>
      <c r="AO63" s="75"/>
      <c r="AP63" s="75"/>
    </row>
    <row r="64" spans="1:42" ht="15.75" x14ac:dyDescent="0.25">
      <c r="A64" s="210"/>
      <c r="B64" s="210"/>
      <c r="C64" s="210"/>
      <c r="D64" s="210"/>
      <c r="E64" s="210"/>
      <c r="F64" s="210"/>
      <c r="G64" s="210"/>
      <c r="H64" s="73"/>
      <c r="AK64" s="147"/>
      <c r="AL64" s="147"/>
      <c r="AM64" s="75"/>
      <c r="AN64" s="75"/>
      <c r="AO64" s="75"/>
      <c r="AP64" s="75"/>
    </row>
    <row r="65" spans="1:42" ht="15.75" x14ac:dyDescent="0.25">
      <c r="A65" s="210"/>
      <c r="B65" s="210"/>
      <c r="C65" s="210"/>
      <c r="D65" s="210"/>
      <c r="E65" s="210"/>
      <c r="F65" s="210"/>
      <c r="G65" s="210"/>
      <c r="H65" s="73"/>
      <c r="AK65" s="147"/>
      <c r="AL65" s="147"/>
      <c r="AM65" s="75"/>
      <c r="AN65" s="75"/>
      <c r="AO65" s="75"/>
      <c r="AP65" s="75"/>
    </row>
    <row r="66" spans="1:42" ht="15.75" x14ac:dyDescent="0.25">
      <c r="A66" s="210"/>
      <c r="B66" s="210"/>
      <c r="C66" s="210"/>
      <c r="D66" s="210"/>
      <c r="E66" s="210"/>
      <c r="F66" s="210"/>
      <c r="G66" s="210"/>
      <c r="H66" s="73"/>
      <c r="AK66" s="147"/>
      <c r="AL66" s="147"/>
      <c r="AM66" s="75"/>
      <c r="AN66" s="75"/>
      <c r="AO66" s="75"/>
      <c r="AP66" s="75"/>
    </row>
    <row r="67" spans="1:42" ht="15.75" x14ac:dyDescent="0.25">
      <c r="A67" s="210"/>
      <c r="B67" s="210"/>
      <c r="C67" s="210"/>
      <c r="D67" s="210"/>
      <c r="E67" s="210"/>
      <c r="F67" s="210"/>
      <c r="G67" s="210"/>
      <c r="H67" s="73"/>
      <c r="AK67" s="147"/>
      <c r="AL67" s="147"/>
      <c r="AM67" s="75"/>
      <c r="AN67" s="75"/>
      <c r="AO67" s="144"/>
      <c r="AP67" s="75"/>
    </row>
    <row r="68" spans="1:42" ht="15.75" x14ac:dyDescent="0.25">
      <c r="A68" s="210"/>
      <c r="B68" s="210"/>
      <c r="C68" s="210"/>
      <c r="D68" s="210"/>
      <c r="E68" s="210"/>
      <c r="F68" s="210"/>
      <c r="G68" s="210"/>
      <c r="H68" s="73"/>
      <c r="AK68" s="147"/>
      <c r="AL68" s="147"/>
      <c r="AM68" s="75"/>
      <c r="AN68" s="75"/>
      <c r="AO68" s="75"/>
      <c r="AP68" s="75"/>
    </row>
    <row r="69" spans="1:42" ht="15.75" x14ac:dyDescent="0.25">
      <c r="A69" s="210"/>
      <c r="B69" s="210"/>
      <c r="C69" s="210"/>
      <c r="D69" s="210"/>
      <c r="E69" s="210"/>
      <c r="F69" s="210"/>
      <c r="G69" s="210"/>
      <c r="H69" s="73"/>
      <c r="AK69" s="147"/>
      <c r="AL69" s="147"/>
      <c r="AM69" s="75"/>
      <c r="AN69" s="75"/>
      <c r="AO69" s="75"/>
      <c r="AP69" s="75"/>
    </row>
    <row r="70" spans="1:42" x14ac:dyDescent="0.25">
      <c r="AL70" s="108"/>
    </row>
    <row r="71" spans="1:42" x14ac:dyDescent="0.25">
      <c r="AL71" s="108"/>
    </row>
    <row r="72" spans="1:42" x14ac:dyDescent="0.25">
      <c r="AL72" s="108"/>
    </row>
    <row r="73" spans="1:42" x14ac:dyDescent="0.25">
      <c r="AL73" s="108"/>
    </row>
    <row r="74" spans="1:42" x14ac:dyDescent="0.25">
      <c r="AL74" s="108"/>
    </row>
  </sheetData>
  <sheetProtection sheet="1" objects="1" scenarios="1" selectLockedCells="1"/>
  <scenarios current="0" sqref="A1:F3">
    <scenario name="teste" locked="1" count="1" user="Your User Name" comment="Gemaakt door Your User Name op 28/11/2013">
      <inputCells r="B37" val="465"/>
    </scenario>
  </scenarios>
  <mergeCells count="56">
    <mergeCell ref="A64:G64"/>
    <mergeCell ref="A58:G58"/>
    <mergeCell ref="A59:G59"/>
    <mergeCell ref="A60:G60"/>
    <mergeCell ref="A61:G61"/>
    <mergeCell ref="A62:G62"/>
    <mergeCell ref="A63:G63"/>
    <mergeCell ref="A65:G65"/>
    <mergeCell ref="A66:G66"/>
    <mergeCell ref="A67:G67"/>
    <mergeCell ref="A68:G68"/>
    <mergeCell ref="A69:G69"/>
    <mergeCell ref="AM30:AS30"/>
    <mergeCell ref="AM28:AS28"/>
    <mergeCell ref="AM29:AS29"/>
    <mergeCell ref="A57:G57"/>
    <mergeCell ref="A46:G46"/>
    <mergeCell ref="A47:G47"/>
    <mergeCell ref="A48:G48"/>
    <mergeCell ref="A49:G49"/>
    <mergeCell ref="A50:G50"/>
    <mergeCell ref="A51:G51"/>
    <mergeCell ref="A52:G52"/>
    <mergeCell ref="A53:G53"/>
    <mergeCell ref="A54:G54"/>
    <mergeCell ref="A55:G55"/>
    <mergeCell ref="A56:G56"/>
    <mergeCell ref="AM27:AS27"/>
    <mergeCell ref="AM26:AS26"/>
    <mergeCell ref="B1:G1"/>
    <mergeCell ref="B2:G2"/>
    <mergeCell ref="B3:G3"/>
    <mergeCell ref="AD8:AG8"/>
    <mergeCell ref="AM1:AX3"/>
    <mergeCell ref="V8:Y8"/>
    <mergeCell ref="R8:U8"/>
    <mergeCell ref="Z8:AC8"/>
    <mergeCell ref="AM25:AS25"/>
    <mergeCell ref="AM24:AS24"/>
    <mergeCell ref="AM23:AS23"/>
    <mergeCell ref="AM22:AS22"/>
    <mergeCell ref="AM20:AS20"/>
    <mergeCell ref="AM21:AS21"/>
    <mergeCell ref="AM19:AS19"/>
    <mergeCell ref="AM18:AS18"/>
    <mergeCell ref="AM17:AS17"/>
    <mergeCell ref="AM16:AS16"/>
    <mergeCell ref="AM15:AS15"/>
    <mergeCell ref="AM7:AS7"/>
    <mergeCell ref="AM8:AS8"/>
    <mergeCell ref="AM9:AS9"/>
    <mergeCell ref="AM14:AS14"/>
    <mergeCell ref="AM13:AS13"/>
    <mergeCell ref="AM12:AS12"/>
    <mergeCell ref="AM11:AS11"/>
    <mergeCell ref="AM10:AS10"/>
  </mergeCells>
  <conditionalFormatting sqref="A9">
    <cfRule type="expression" dxfId="28" priority="28">
      <formula>#N/A</formula>
    </cfRule>
  </conditionalFormatting>
  <conditionalFormatting sqref="B8">
    <cfRule type="containsErrors" dxfId="27" priority="27">
      <formula>ISERROR(B8)</formula>
    </cfRule>
  </conditionalFormatting>
  <conditionalFormatting sqref="B9:B15">
    <cfRule type="containsErrors" dxfId="26" priority="26">
      <formula>ISERROR(B9)</formula>
    </cfRule>
  </conditionalFormatting>
  <conditionalFormatting sqref="B20:B27">
    <cfRule type="containsErrors" dxfId="25" priority="25">
      <formula>ISERROR(B20)</formula>
    </cfRule>
  </conditionalFormatting>
  <conditionalFormatting sqref="F19:G28">
    <cfRule type="containsErrors" dxfId="24" priority="24">
      <formula>ISERROR(F19)</formula>
    </cfRule>
  </conditionalFormatting>
  <conditionalFormatting sqref="B31">
    <cfRule type="containsErrors" dxfId="23" priority="23">
      <formula>ISERROR(B31)</formula>
    </cfRule>
  </conditionalFormatting>
  <conditionalFormatting sqref="B37:B38">
    <cfRule type="containsErrors" dxfId="22" priority="22">
      <formula>ISERROR(B37)</formula>
    </cfRule>
  </conditionalFormatting>
  <conditionalFormatting sqref="B39">
    <cfRule type="containsErrors" dxfId="21" priority="21">
      <formula>ISERROR(B39)</formula>
    </cfRule>
  </conditionalFormatting>
  <conditionalFormatting sqref="B34">
    <cfRule type="containsErrors" dxfId="20" priority="18">
      <formula>ISERROR(B34)</formula>
    </cfRule>
    <cfRule type="containsErrors" dxfId="19" priority="19">
      <formula>ISERROR(B34)</formula>
    </cfRule>
    <cfRule type="containsErrors" dxfId="18" priority="20">
      <formula>ISERROR(B34)</formula>
    </cfRule>
  </conditionalFormatting>
  <conditionalFormatting sqref="D5">
    <cfRule type="containsErrors" dxfId="17" priority="29">
      <formula>ISERROR(D5)</formula>
    </cfRule>
  </conditionalFormatting>
  <conditionalFormatting sqref="G29">
    <cfRule type="containsErrors" dxfId="16" priority="14">
      <formula>ISERROR(G29)</formula>
    </cfRule>
  </conditionalFormatting>
  <conditionalFormatting sqref="B33">
    <cfRule type="containsErrors" dxfId="15" priority="12">
      <formula>ISERROR(B33)</formula>
    </cfRule>
  </conditionalFormatting>
  <conditionalFormatting sqref="B19">
    <cfRule type="cellIs" dxfId="14" priority="11" operator="equal">
      <formula>0</formula>
    </cfRule>
  </conditionalFormatting>
  <conditionalFormatting sqref="B36">
    <cfRule type="cellIs" dxfId="13" priority="6" operator="equal">
      <formula>0</formula>
    </cfRule>
    <cfRule type="containsErrors" dxfId="12" priority="8">
      <formula>ISERROR(B36)</formula>
    </cfRule>
  </conditionalFormatting>
  <conditionalFormatting sqref="B35">
    <cfRule type="containsErrors" dxfId="11" priority="7">
      <formula>ISERROR(B35)</formula>
    </cfRule>
  </conditionalFormatting>
  <conditionalFormatting sqref="D15">
    <cfRule type="cellIs" dxfId="10" priority="5" operator="equal">
      <formula>0</formula>
    </cfRule>
  </conditionalFormatting>
  <conditionalFormatting sqref="D7:D14">
    <cfRule type="cellIs" dxfId="9" priority="4" operator="equal">
      <formula>0</formula>
    </cfRule>
  </conditionalFormatting>
  <conditionalFormatting sqref="E19:E27">
    <cfRule type="cellIs" dxfId="8" priority="3" operator="equal">
      <formula>0</formula>
    </cfRule>
  </conditionalFormatting>
  <conditionalFormatting sqref="E28">
    <cfRule type="cellIs" dxfId="7" priority="2" operator="equal">
      <formula>0</formula>
    </cfRule>
  </conditionalFormatting>
  <conditionalFormatting sqref="D16">
    <cfRule type="cellIs" dxfId="6" priority="1" operator="equal">
      <formula>0</formula>
    </cfRule>
  </conditionalFormatting>
  <dataValidations count="5">
    <dataValidation type="list" allowBlank="1" showInputMessage="1" showErrorMessage="1" sqref="E7:E15">
      <formula1>$P$1:$Q$1</formula1>
    </dataValidation>
    <dataValidation type="list" allowBlank="1" showInputMessage="1" showErrorMessage="1" sqref="B2:G2">
      <formula1>$J$6:$J$7</formula1>
    </dataValidation>
    <dataValidation type="list" allowBlank="1" showInputMessage="1" showErrorMessage="1" sqref="B1:G1">
      <formula1>$J$2:$J$5</formula1>
    </dataValidation>
    <dataValidation type="list" allowBlank="1" showInputMessage="1" showErrorMessage="1" sqref="B3:G3">
      <formula1>$K$2:$K$5</formula1>
    </dataValidation>
    <dataValidation type="list" allowBlank="1" showInputMessage="1" showErrorMessage="1" sqref="B7:B15">
      <formula1>$AE$1:$AE$7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5"/>
  <sheetViews>
    <sheetView showGridLines="0" zoomScale="85" zoomScaleNormal="85" workbookViewId="0">
      <selection activeCell="A2" sqref="A2"/>
    </sheetView>
  </sheetViews>
  <sheetFormatPr defaultRowHeight="15" x14ac:dyDescent="0.25"/>
  <cols>
    <col min="1" max="1" width="60.85546875" customWidth="1"/>
    <col min="2" max="2" width="2" style="2" customWidth="1"/>
    <col min="4" max="4" width="10" style="1" customWidth="1"/>
    <col min="5" max="5" width="17.140625" customWidth="1"/>
    <col min="6" max="6" width="9.7109375" customWidth="1"/>
    <col min="8" max="8" width="45.140625" customWidth="1"/>
    <col min="9" max="9" width="38.85546875" customWidth="1"/>
    <col min="10" max="10" width="9.140625" hidden="1" customWidth="1"/>
    <col min="11" max="11" width="10.7109375" style="32" hidden="1" customWidth="1"/>
    <col min="12" max="12" width="3.140625" customWidth="1"/>
    <col min="13" max="13" width="11.28515625" customWidth="1"/>
  </cols>
  <sheetData>
    <row r="1" spans="1:11" x14ac:dyDescent="0.25">
      <c r="A1" t="s">
        <v>24</v>
      </c>
      <c r="D1" s="205" t="s">
        <v>61</v>
      </c>
      <c r="E1" s="204" t="e">
        <f>VLOOKUP(A4,A27:G46,5,FALSE)</f>
        <v>#N/A</v>
      </c>
      <c r="F1" s="204" t="e">
        <f>VLOOKUP(A4,A27:G46,4,FALSE)</f>
        <v>#N/A</v>
      </c>
      <c r="G1" s="5" t="s">
        <v>51</v>
      </c>
      <c r="H1" s="5" t="s">
        <v>50</v>
      </c>
      <c r="J1" s="50">
        <v>0.33333333333333331</v>
      </c>
      <c r="K1" s="49">
        <f ca="1">TODAY()</f>
        <v>41710</v>
      </c>
    </row>
    <row r="2" spans="1:11" x14ac:dyDescent="0.25">
      <c r="A2" s="31"/>
      <c r="G2" s="5" t="e">
        <f>IF(E9=E41,0,1)</f>
        <v>#N/A</v>
      </c>
      <c r="H2" s="5" t="e">
        <f>IF(G2=0,1,0)</f>
        <v>#N/A</v>
      </c>
      <c r="J2" s="50">
        <v>0.54166666666666663</v>
      </c>
      <c r="K2" s="49">
        <f ca="1">K1+1</f>
        <v>41711</v>
      </c>
    </row>
    <row r="3" spans="1:11" x14ac:dyDescent="0.25">
      <c r="A3" s="2" t="s">
        <v>46</v>
      </c>
      <c r="D3" s="221" t="s">
        <v>162</v>
      </c>
      <c r="E3" s="221"/>
      <c r="F3" s="221"/>
      <c r="G3" s="5" t="s">
        <v>51</v>
      </c>
      <c r="H3" s="5" t="s">
        <v>50</v>
      </c>
      <c r="I3" s="5"/>
      <c r="J3" s="50">
        <v>0.75</v>
      </c>
      <c r="K3" s="49">
        <f ca="1">K2+1</f>
        <v>41712</v>
      </c>
    </row>
    <row r="4" spans="1:11" ht="15.75" thickBot="1" x14ac:dyDescent="0.3">
      <c r="A4" s="30"/>
      <c r="D4" s="206"/>
      <c r="E4" s="207" t="e">
        <f>VLOOKUP(A4,A27:G46,7,FALSE)</f>
        <v>#N/A</v>
      </c>
      <c r="F4" s="207" t="s">
        <v>183</v>
      </c>
      <c r="G4" s="5" t="s">
        <v>48</v>
      </c>
      <c r="H4" s="5" t="s">
        <v>44</v>
      </c>
      <c r="I4" s="5"/>
      <c r="J4" s="50">
        <v>0.95833333333333337</v>
      </c>
      <c r="K4" s="49">
        <f t="shared" ref="K4:K12" ca="1" si="0">K3+1</f>
        <v>41713</v>
      </c>
    </row>
    <row r="5" spans="1:11" x14ac:dyDescent="0.25">
      <c r="A5" s="2"/>
      <c r="C5" s="10" t="s">
        <v>37</v>
      </c>
      <c r="D5" s="44"/>
      <c r="E5" s="12" t="s">
        <v>38</v>
      </c>
      <c r="F5" s="46"/>
      <c r="G5" s="5"/>
      <c r="K5" s="49">
        <f t="shared" ca="1" si="0"/>
        <v>41714</v>
      </c>
    </row>
    <row r="6" spans="1:11" ht="15.75" x14ac:dyDescent="0.25">
      <c r="C6" s="13" t="s">
        <v>35</v>
      </c>
      <c r="D6" s="45"/>
      <c r="E6" s="40" t="s">
        <v>36</v>
      </c>
      <c r="F6" s="47"/>
      <c r="G6" s="5"/>
      <c r="H6" s="5"/>
      <c r="J6" s="51" t="s">
        <v>25</v>
      </c>
      <c r="K6" s="49">
        <f t="shared" ca="1" si="0"/>
        <v>41715</v>
      </c>
    </row>
    <row r="7" spans="1:11" ht="15.75" x14ac:dyDescent="0.25">
      <c r="C7" s="48">
        <f>(F6*24-D6*24)/5</f>
        <v>0</v>
      </c>
      <c r="D7" s="43">
        <f>(F5-D5)</f>
        <v>0</v>
      </c>
      <c r="E7" s="209"/>
      <c r="F7" s="20"/>
      <c r="J7" s="51" t="s">
        <v>26</v>
      </c>
      <c r="K7" s="49">
        <f t="shared" ca="1" si="0"/>
        <v>41716</v>
      </c>
    </row>
    <row r="8" spans="1:11" ht="15.75" x14ac:dyDescent="0.25">
      <c r="A8" s="2"/>
      <c r="C8" s="208"/>
      <c r="D8" s="25">
        <f>D7*3+C7</f>
        <v>0</v>
      </c>
      <c r="E8" s="14" t="str">
        <f>IF(D8=1,G1,H1)</f>
        <v>dagdelen</v>
      </c>
      <c r="F8" s="15"/>
      <c r="J8" s="51" t="s">
        <v>27</v>
      </c>
      <c r="K8" s="49">
        <f t="shared" ca="1" si="0"/>
        <v>41717</v>
      </c>
    </row>
    <row r="9" spans="1:11" ht="15.75" thickBot="1" x14ac:dyDescent="0.3">
      <c r="A9" s="2"/>
      <c r="C9" s="42" t="s">
        <v>47</v>
      </c>
      <c r="D9" s="26" t="e">
        <f>VLOOKUP(A4,A27:E46,4,FALSE)</f>
        <v>#N/A</v>
      </c>
      <c r="E9" s="22" t="e">
        <f>VLOOKUP(A4,A27:E46,5,FALSE)</f>
        <v>#N/A</v>
      </c>
      <c r="F9" s="23"/>
      <c r="K9" s="49">
        <f t="shared" ca="1" si="0"/>
        <v>41718</v>
      </c>
    </row>
    <row r="10" spans="1:11" ht="15.75" thickBot="1" x14ac:dyDescent="0.3">
      <c r="A10" s="2"/>
      <c r="C10" s="154" t="s">
        <v>18</v>
      </c>
      <c r="D10" s="153" t="e">
        <f>D9*G2*D8+D9*H2*(D7+1)</f>
        <v>#N/A</v>
      </c>
      <c r="K10" s="49">
        <f t="shared" ca="1" si="0"/>
        <v>41719</v>
      </c>
    </row>
    <row r="11" spans="1:11" x14ac:dyDescent="0.25">
      <c r="A11" s="2"/>
      <c r="K11" s="49">
        <f t="shared" ca="1" si="0"/>
        <v>41720</v>
      </c>
    </row>
    <row r="12" spans="1:11" x14ac:dyDescent="0.25">
      <c r="A12" s="2"/>
      <c r="F12" s="16"/>
      <c r="K12" s="49">
        <f t="shared" ca="1" si="0"/>
        <v>41721</v>
      </c>
    </row>
    <row r="13" spans="1:11" x14ac:dyDescent="0.25">
      <c r="A13" s="102" t="s">
        <v>99</v>
      </c>
      <c r="B13"/>
      <c r="K13" s="49">
        <f t="shared" ref="K13:K44" ca="1" si="1">K12+1</f>
        <v>41722</v>
      </c>
    </row>
    <row r="14" spans="1:11" ht="15.75" x14ac:dyDescent="0.25">
      <c r="A14" s="101" t="s">
        <v>73</v>
      </c>
      <c r="B14" s="222" t="s">
        <v>72</v>
      </c>
      <c r="C14" s="222"/>
      <c r="K14" s="49">
        <f t="shared" ca="1" si="1"/>
        <v>41723</v>
      </c>
    </row>
    <row r="15" spans="1:11" ht="15.75" x14ac:dyDescent="0.25">
      <c r="A15" s="101" t="s">
        <v>74</v>
      </c>
      <c r="B15" s="222" t="s">
        <v>75</v>
      </c>
      <c r="C15" s="222"/>
      <c r="K15" s="49">
        <f t="shared" ca="1" si="1"/>
        <v>41724</v>
      </c>
    </row>
    <row r="16" spans="1:11" ht="15.75" x14ac:dyDescent="0.25">
      <c r="A16" s="101" t="s">
        <v>83</v>
      </c>
      <c r="B16" s="222" t="s">
        <v>84</v>
      </c>
      <c r="C16" s="222"/>
      <c r="K16" s="49">
        <f t="shared" ca="1" si="1"/>
        <v>41725</v>
      </c>
    </row>
    <row r="17" spans="1:11" ht="15.75" x14ac:dyDescent="0.25">
      <c r="A17" s="101" t="s">
        <v>85</v>
      </c>
      <c r="B17" s="222" t="s">
        <v>86</v>
      </c>
      <c r="C17" s="222"/>
      <c r="K17" s="49">
        <f t="shared" ca="1" si="1"/>
        <v>41726</v>
      </c>
    </row>
    <row r="18" spans="1:11" ht="15.75" x14ac:dyDescent="0.25">
      <c r="A18" s="101" t="s">
        <v>87</v>
      </c>
      <c r="B18" s="222" t="s">
        <v>88</v>
      </c>
      <c r="C18" s="222"/>
      <c r="K18" s="49">
        <f t="shared" ca="1" si="1"/>
        <v>41727</v>
      </c>
    </row>
    <row r="19" spans="1:11" ht="15.75" x14ac:dyDescent="0.25">
      <c r="A19" s="101" t="s">
        <v>89</v>
      </c>
      <c r="B19" s="222" t="s">
        <v>72</v>
      </c>
      <c r="C19" s="222"/>
      <c r="K19" s="49">
        <f t="shared" ca="1" si="1"/>
        <v>41728</v>
      </c>
    </row>
    <row r="20" spans="1:11" ht="15.75" x14ac:dyDescent="0.25">
      <c r="A20" s="101" t="s">
        <v>90</v>
      </c>
      <c r="B20" s="222" t="s">
        <v>91</v>
      </c>
      <c r="C20" s="222"/>
      <c r="K20" s="49">
        <f t="shared" ca="1" si="1"/>
        <v>41729</v>
      </c>
    </row>
    <row r="21" spans="1:11" ht="31.5" x14ac:dyDescent="0.25">
      <c r="A21" s="101" t="s">
        <v>92</v>
      </c>
      <c r="B21" s="222" t="s">
        <v>86</v>
      </c>
      <c r="C21" s="222"/>
      <c r="K21" s="49">
        <f t="shared" ca="1" si="1"/>
        <v>41730</v>
      </c>
    </row>
    <row r="22" spans="1:11" ht="31.5" x14ac:dyDescent="0.25">
      <c r="A22" s="101" t="s">
        <v>93</v>
      </c>
      <c r="B22" s="222" t="s">
        <v>94</v>
      </c>
      <c r="C22" s="222"/>
      <c r="K22" s="49">
        <f t="shared" ca="1" si="1"/>
        <v>41731</v>
      </c>
    </row>
    <row r="23" spans="1:11" ht="15.75" customHeight="1" x14ac:dyDescent="0.25">
      <c r="A23" s="101" t="s">
        <v>95</v>
      </c>
      <c r="B23" s="222" t="s">
        <v>97</v>
      </c>
      <c r="C23" s="226"/>
      <c r="D23" s="223" t="s">
        <v>98</v>
      </c>
      <c r="E23" s="224"/>
      <c r="F23" s="224"/>
      <c r="G23" s="225"/>
      <c r="K23" s="49">
        <f t="shared" ca="1" si="1"/>
        <v>41732</v>
      </c>
    </row>
    <row r="24" spans="1:11" ht="15.75" x14ac:dyDescent="0.25">
      <c r="A24" s="101" t="s">
        <v>96</v>
      </c>
      <c r="B24" s="222" t="s">
        <v>86</v>
      </c>
      <c r="C24" s="222"/>
      <c r="K24" s="49">
        <f t="shared" ca="1" si="1"/>
        <v>41733</v>
      </c>
    </row>
    <row r="25" spans="1:11" x14ac:dyDescent="0.25">
      <c r="A25" s="2"/>
      <c r="F25" s="16"/>
      <c r="K25" s="49">
        <f t="shared" ca="1" si="1"/>
        <v>41734</v>
      </c>
    </row>
    <row r="26" spans="1:11" hidden="1" x14ac:dyDescent="0.25">
      <c r="A26" s="2"/>
      <c r="F26" s="16"/>
      <c r="K26" s="49">
        <f t="shared" ca="1" si="1"/>
        <v>41735</v>
      </c>
    </row>
    <row r="27" spans="1:11" ht="15.75" hidden="1" x14ac:dyDescent="0.25">
      <c r="A27" s="55" t="s">
        <v>167</v>
      </c>
      <c r="B27" s="56"/>
      <c r="C27" s="57" t="s">
        <v>20</v>
      </c>
      <c r="D27" s="58">
        <f>IF(A2=J6,5,20)</f>
        <v>20</v>
      </c>
      <c r="E27" s="57" t="s">
        <v>32</v>
      </c>
      <c r="G27">
        <v>20</v>
      </c>
      <c r="K27" s="49">
        <f t="shared" ca="1" si="1"/>
        <v>41736</v>
      </c>
    </row>
    <row r="28" spans="1:11" ht="15.75" hidden="1" x14ac:dyDescent="0.25">
      <c r="A28" s="55" t="s">
        <v>168</v>
      </c>
      <c r="B28" s="56"/>
      <c r="C28" s="57" t="s">
        <v>21</v>
      </c>
      <c r="D28" s="58">
        <f>IF(A2=J6,10,40)</f>
        <v>40</v>
      </c>
      <c r="E28" s="57" t="s">
        <v>32</v>
      </c>
      <c r="G28">
        <v>120</v>
      </c>
      <c r="K28" s="49">
        <f t="shared" ca="1" si="1"/>
        <v>41737</v>
      </c>
    </row>
    <row r="29" spans="1:11" ht="47.25" hidden="1" x14ac:dyDescent="0.25">
      <c r="A29" s="59" t="s">
        <v>169</v>
      </c>
      <c r="B29" s="60"/>
      <c r="C29" s="57" t="s">
        <v>20</v>
      </c>
      <c r="D29" s="58">
        <f>IF(A2=J6,5,20)</f>
        <v>20</v>
      </c>
      <c r="E29" s="57" t="s">
        <v>32</v>
      </c>
      <c r="G29">
        <v>120</v>
      </c>
      <c r="K29" s="49">
        <f t="shared" ca="1" si="1"/>
        <v>41738</v>
      </c>
    </row>
    <row r="30" spans="1:11" ht="15.75" hidden="1" x14ac:dyDescent="0.25">
      <c r="A30" s="55" t="s">
        <v>163</v>
      </c>
      <c r="B30" s="56"/>
      <c r="C30" s="57" t="s">
        <v>20</v>
      </c>
      <c r="D30" s="58">
        <f>IF(A2=J6,5,20)</f>
        <v>20</v>
      </c>
      <c r="E30" s="57" t="s">
        <v>32</v>
      </c>
      <c r="G30">
        <v>22</v>
      </c>
      <c r="K30" s="49">
        <f t="shared" ca="1" si="1"/>
        <v>41739</v>
      </c>
    </row>
    <row r="31" spans="1:11" ht="15.75" hidden="1" x14ac:dyDescent="0.25">
      <c r="A31" s="55" t="s">
        <v>164</v>
      </c>
      <c r="B31" s="56"/>
      <c r="C31" s="57" t="s">
        <v>20</v>
      </c>
      <c r="D31" s="58">
        <f>IF(A2=J6,5,20)</f>
        <v>20</v>
      </c>
      <c r="E31" s="57" t="s">
        <v>32</v>
      </c>
      <c r="G31" s="14">
        <v>50</v>
      </c>
      <c r="H31" s="14"/>
      <c r="I31" s="14"/>
      <c r="K31" s="49">
        <f t="shared" ca="1" si="1"/>
        <v>41740</v>
      </c>
    </row>
    <row r="32" spans="1:11" ht="15.75" hidden="1" x14ac:dyDescent="0.25">
      <c r="A32" s="55" t="s">
        <v>166</v>
      </c>
      <c r="B32" s="56"/>
      <c r="C32" s="57" t="s">
        <v>21</v>
      </c>
      <c r="D32" s="58">
        <f>IF(A2=J6,10,40)</f>
        <v>40</v>
      </c>
      <c r="E32" s="57" t="s">
        <v>32</v>
      </c>
      <c r="G32" s="3">
        <v>32</v>
      </c>
      <c r="H32" s="14"/>
      <c r="I32" s="14"/>
      <c r="K32" s="49">
        <f t="shared" ca="1" si="1"/>
        <v>41741</v>
      </c>
    </row>
    <row r="33" spans="1:11" ht="46.5" hidden="1" customHeight="1" x14ac:dyDescent="0.25">
      <c r="A33" s="59" t="s">
        <v>165</v>
      </c>
      <c r="B33" s="60"/>
      <c r="C33" s="57" t="s">
        <v>20</v>
      </c>
      <c r="D33" s="58">
        <f>IF(A2=J6,5,20)</f>
        <v>20</v>
      </c>
      <c r="E33" s="57" t="s">
        <v>32</v>
      </c>
      <c r="G33" s="3">
        <v>32</v>
      </c>
      <c r="H33" s="103"/>
      <c r="I33" s="103"/>
      <c r="K33" s="49">
        <f t="shared" ca="1" si="1"/>
        <v>41742</v>
      </c>
    </row>
    <row r="34" spans="1:11" ht="15.75" hidden="1" x14ac:dyDescent="0.25">
      <c r="A34" s="55" t="s">
        <v>170</v>
      </c>
      <c r="B34" s="56"/>
      <c r="C34" s="57" t="s">
        <v>21</v>
      </c>
      <c r="D34" s="58">
        <f>IF(A2=J6,10,40)</f>
        <v>40</v>
      </c>
      <c r="E34" s="57" t="s">
        <v>32</v>
      </c>
      <c r="G34" s="3">
        <v>60</v>
      </c>
      <c r="H34" s="103"/>
      <c r="I34" s="103"/>
      <c r="K34" s="49">
        <f t="shared" ca="1" si="1"/>
        <v>41743</v>
      </c>
    </row>
    <row r="35" spans="1:11" ht="15.75" hidden="1" x14ac:dyDescent="0.25">
      <c r="A35" s="55" t="s">
        <v>171</v>
      </c>
      <c r="B35" s="56"/>
      <c r="C35" s="57" t="s">
        <v>22</v>
      </c>
      <c r="D35" s="58">
        <f>IF(A2=J6,15,60)</f>
        <v>60</v>
      </c>
      <c r="E35" s="57" t="s">
        <v>32</v>
      </c>
      <c r="G35" s="3">
        <v>20</v>
      </c>
      <c r="H35" s="103"/>
      <c r="I35" s="103"/>
      <c r="K35" s="49">
        <f t="shared" ca="1" si="1"/>
        <v>41744</v>
      </c>
    </row>
    <row r="36" spans="1:11" ht="15.75" hidden="1" x14ac:dyDescent="0.25">
      <c r="A36" s="55" t="s">
        <v>175</v>
      </c>
      <c r="B36" s="56"/>
      <c r="C36" s="57" t="s">
        <v>20</v>
      </c>
      <c r="D36" s="58">
        <f>IF(A2=J6,5,20)</f>
        <v>20</v>
      </c>
      <c r="E36" s="57" t="s">
        <v>32</v>
      </c>
      <c r="G36" s="3">
        <v>45</v>
      </c>
      <c r="H36" s="103"/>
      <c r="I36" s="103"/>
      <c r="K36" s="49">
        <f ca="1">K38+1</f>
        <v>41746</v>
      </c>
    </row>
    <row r="37" spans="1:11" ht="15.75" hidden="1" x14ac:dyDescent="0.25">
      <c r="A37" s="55" t="s">
        <v>176</v>
      </c>
      <c r="B37" s="56"/>
      <c r="C37" s="57" t="s">
        <v>22</v>
      </c>
      <c r="D37" s="58">
        <f>IF(A2=J6,15,60)</f>
        <v>60</v>
      </c>
      <c r="E37" s="57" t="s">
        <v>32</v>
      </c>
      <c r="G37" s="3">
        <v>12</v>
      </c>
      <c r="H37" s="103"/>
      <c r="I37" s="103"/>
      <c r="K37" s="49">
        <f ca="1">K40+1</f>
        <v>41749</v>
      </c>
    </row>
    <row r="38" spans="1:11" ht="15.75" hidden="1" x14ac:dyDescent="0.25">
      <c r="A38" s="55" t="s">
        <v>172</v>
      </c>
      <c r="B38" s="56"/>
      <c r="C38" s="57" t="s">
        <v>20</v>
      </c>
      <c r="D38" s="58">
        <f>IF(A2=J6,5,20)</f>
        <v>20</v>
      </c>
      <c r="E38" s="57" t="s">
        <v>32</v>
      </c>
      <c r="G38" s="3">
        <v>10</v>
      </c>
      <c r="H38" s="103"/>
      <c r="I38" s="103"/>
      <c r="K38" s="49">
        <f ca="1">K35+1</f>
        <v>41745</v>
      </c>
    </row>
    <row r="39" spans="1:11" ht="15.75" hidden="1" x14ac:dyDescent="0.25">
      <c r="A39" s="55" t="s">
        <v>173</v>
      </c>
      <c r="B39" s="56"/>
      <c r="C39" s="57" t="s">
        <v>21</v>
      </c>
      <c r="D39" s="58">
        <f>IF(A2=J6,10,40)</f>
        <v>40</v>
      </c>
      <c r="E39" s="57" t="s">
        <v>32</v>
      </c>
      <c r="G39" s="3">
        <v>50</v>
      </c>
      <c r="H39" s="103"/>
      <c r="I39" s="103"/>
      <c r="K39" s="49">
        <f ca="1">K36+1</f>
        <v>41747</v>
      </c>
    </row>
    <row r="40" spans="1:11" ht="47.25" hidden="1" x14ac:dyDescent="0.25">
      <c r="A40" s="59" t="s">
        <v>174</v>
      </c>
      <c r="B40" s="60"/>
      <c r="C40" s="57" t="s">
        <v>20</v>
      </c>
      <c r="D40" s="58">
        <f>IF(A2=J6,5,20)</f>
        <v>20</v>
      </c>
      <c r="E40" s="57" t="s">
        <v>32</v>
      </c>
      <c r="G40" s="3">
        <v>50</v>
      </c>
      <c r="H40" s="103"/>
      <c r="I40" s="103"/>
      <c r="K40" s="49">
        <f ca="1">K39+1</f>
        <v>41748</v>
      </c>
    </row>
    <row r="41" spans="1:11" ht="15.75" hidden="1" x14ac:dyDescent="0.25">
      <c r="A41" s="55" t="s">
        <v>177</v>
      </c>
      <c r="B41" s="56"/>
      <c r="C41" s="57" t="s">
        <v>23</v>
      </c>
      <c r="D41" s="58">
        <f>IF(A2=J6,25,100)</f>
        <v>100</v>
      </c>
      <c r="E41" s="57" t="s">
        <v>33</v>
      </c>
      <c r="G41" s="3">
        <v>40</v>
      </c>
      <c r="H41" s="103"/>
      <c r="I41" s="103"/>
      <c r="K41" s="49">
        <f ca="1">K37+1</f>
        <v>41750</v>
      </c>
    </row>
    <row r="42" spans="1:11" ht="15.75" hidden="1" x14ac:dyDescent="0.25">
      <c r="A42" s="55" t="s">
        <v>178</v>
      </c>
      <c r="B42" s="56"/>
      <c r="C42" s="57" t="s">
        <v>20</v>
      </c>
      <c r="D42" s="58">
        <f>IF(A2=J6,5,20)</f>
        <v>20</v>
      </c>
      <c r="E42" s="57" t="s">
        <v>32</v>
      </c>
      <c r="G42" s="3">
        <v>30</v>
      </c>
      <c r="H42" s="103"/>
      <c r="I42" s="103"/>
      <c r="K42" s="49">
        <f ca="1">K41+1</f>
        <v>41751</v>
      </c>
    </row>
    <row r="43" spans="1:11" ht="15.75" hidden="1" x14ac:dyDescent="0.25">
      <c r="A43" s="55" t="s">
        <v>179</v>
      </c>
      <c r="B43" s="56"/>
      <c r="C43" s="57" t="s">
        <v>20</v>
      </c>
      <c r="D43" s="58">
        <f>IF(A2=J6,5,20)</f>
        <v>20</v>
      </c>
      <c r="E43" s="57" t="s">
        <v>32</v>
      </c>
      <c r="G43" s="3">
        <v>12</v>
      </c>
      <c r="H43" s="103"/>
      <c r="I43" s="103"/>
      <c r="K43" s="49">
        <f t="shared" ca="1" si="1"/>
        <v>41752</v>
      </c>
    </row>
    <row r="44" spans="1:11" ht="15.75" hidden="1" x14ac:dyDescent="0.25">
      <c r="A44" s="55" t="s">
        <v>180</v>
      </c>
      <c r="B44" s="56"/>
      <c r="C44" s="57" t="s">
        <v>21</v>
      </c>
      <c r="D44" s="58">
        <f>IF(A2=J6,10,40)</f>
        <v>40</v>
      </c>
      <c r="E44" s="57" t="s">
        <v>32</v>
      </c>
      <c r="G44" s="3">
        <v>60</v>
      </c>
      <c r="K44" s="49">
        <f t="shared" ca="1" si="1"/>
        <v>41753</v>
      </c>
    </row>
    <row r="45" spans="1:11" ht="63" hidden="1" x14ac:dyDescent="0.25">
      <c r="A45" s="59" t="s">
        <v>181</v>
      </c>
      <c r="B45" s="60"/>
      <c r="C45" s="57" t="s">
        <v>20</v>
      </c>
      <c r="D45" s="58">
        <f>IF(A2=J6,5,20)</f>
        <v>20</v>
      </c>
      <c r="E45" s="57" t="s">
        <v>32</v>
      </c>
      <c r="G45" s="3">
        <v>60</v>
      </c>
      <c r="K45" s="49">
        <f t="shared" ref="K45:K67" ca="1" si="2">K44+1</f>
        <v>41754</v>
      </c>
    </row>
    <row r="46" spans="1:11" ht="15.75" hidden="1" x14ac:dyDescent="0.25">
      <c r="A46" s="55" t="s">
        <v>182</v>
      </c>
      <c r="B46" s="56"/>
      <c r="C46" s="57" t="s">
        <v>22</v>
      </c>
      <c r="D46" s="58">
        <f>IF(A2=J6,15,60)</f>
        <v>60</v>
      </c>
      <c r="E46" s="57" t="s">
        <v>32</v>
      </c>
      <c r="G46" s="3">
        <v>16</v>
      </c>
      <c r="K46" s="49">
        <f t="shared" ca="1" si="2"/>
        <v>41755</v>
      </c>
    </row>
    <row r="47" spans="1:11" ht="15.75" x14ac:dyDescent="0.25">
      <c r="A47" s="6"/>
      <c r="B47" s="52"/>
      <c r="K47" s="49">
        <f t="shared" ca="1" si="2"/>
        <v>41756</v>
      </c>
    </row>
    <row r="48" spans="1:11" ht="15.75" x14ac:dyDescent="0.25">
      <c r="A48" s="6"/>
      <c r="B48" s="52"/>
      <c r="K48" s="49">
        <f t="shared" ca="1" si="2"/>
        <v>41757</v>
      </c>
    </row>
    <row r="49" spans="1:11" ht="15.75" x14ac:dyDescent="0.25">
      <c r="B49" s="53"/>
      <c r="K49" s="49">
        <f t="shared" ca="1" si="2"/>
        <v>41758</v>
      </c>
    </row>
    <row r="50" spans="1:11" ht="20.25" customHeight="1" x14ac:dyDescent="0.25">
      <c r="B50" s="53"/>
      <c r="K50" s="49">
        <f t="shared" ca="1" si="2"/>
        <v>41759</v>
      </c>
    </row>
    <row r="51" spans="1:11" ht="15.75" x14ac:dyDescent="0.25">
      <c r="B51" s="53"/>
      <c r="K51" s="49">
        <f t="shared" ca="1" si="2"/>
        <v>41760</v>
      </c>
    </row>
    <row r="52" spans="1:11" x14ac:dyDescent="0.25">
      <c r="A52" s="7"/>
      <c r="B52" s="54"/>
      <c r="K52" s="49">
        <f t="shared" ca="1" si="2"/>
        <v>41761</v>
      </c>
    </row>
    <row r="53" spans="1:11" x14ac:dyDescent="0.25">
      <c r="K53" s="49">
        <f t="shared" ca="1" si="2"/>
        <v>41762</v>
      </c>
    </row>
    <row r="54" spans="1:11" x14ac:dyDescent="0.25">
      <c r="K54" s="49">
        <f t="shared" ca="1" si="2"/>
        <v>41763</v>
      </c>
    </row>
    <row r="55" spans="1:11" x14ac:dyDescent="0.25">
      <c r="K55" s="49">
        <f t="shared" ca="1" si="2"/>
        <v>41764</v>
      </c>
    </row>
    <row r="56" spans="1:11" x14ac:dyDescent="0.25">
      <c r="K56" s="49">
        <f t="shared" ca="1" si="2"/>
        <v>41765</v>
      </c>
    </row>
    <row r="57" spans="1:11" x14ac:dyDescent="0.25">
      <c r="K57" s="49">
        <f t="shared" ca="1" si="2"/>
        <v>41766</v>
      </c>
    </row>
    <row r="58" spans="1:11" x14ac:dyDescent="0.25">
      <c r="K58" s="49">
        <f t="shared" ca="1" si="2"/>
        <v>41767</v>
      </c>
    </row>
    <row r="59" spans="1:11" x14ac:dyDescent="0.25">
      <c r="K59" s="49">
        <f t="shared" ca="1" si="2"/>
        <v>41768</v>
      </c>
    </row>
    <row r="60" spans="1:11" x14ac:dyDescent="0.25">
      <c r="K60" s="49">
        <f t="shared" ca="1" si="2"/>
        <v>41769</v>
      </c>
    </row>
    <row r="61" spans="1:11" x14ac:dyDescent="0.25">
      <c r="K61" s="49">
        <f t="shared" ca="1" si="2"/>
        <v>41770</v>
      </c>
    </row>
    <row r="62" spans="1:11" x14ac:dyDescent="0.25">
      <c r="K62" s="49">
        <f t="shared" ca="1" si="2"/>
        <v>41771</v>
      </c>
    </row>
    <row r="63" spans="1:11" x14ac:dyDescent="0.25">
      <c r="K63" s="49">
        <f t="shared" ca="1" si="2"/>
        <v>41772</v>
      </c>
    </row>
    <row r="64" spans="1:11" x14ac:dyDescent="0.25">
      <c r="K64" s="49">
        <f t="shared" ca="1" si="2"/>
        <v>41773</v>
      </c>
    </row>
    <row r="65" spans="11:11" x14ac:dyDescent="0.25">
      <c r="K65" s="49">
        <f t="shared" ca="1" si="2"/>
        <v>41774</v>
      </c>
    </row>
    <row r="66" spans="11:11" x14ac:dyDescent="0.25">
      <c r="K66" s="49">
        <f t="shared" ca="1" si="2"/>
        <v>41775</v>
      </c>
    </row>
    <row r="67" spans="11:11" x14ac:dyDescent="0.25">
      <c r="K67" s="49">
        <f t="shared" ca="1" si="2"/>
        <v>41776</v>
      </c>
    </row>
    <row r="68" spans="11:11" x14ac:dyDescent="0.25">
      <c r="K68" s="49">
        <f t="shared" ref="K68:K131" ca="1" si="3">K67+1</f>
        <v>41777</v>
      </c>
    </row>
    <row r="69" spans="11:11" x14ac:dyDescent="0.25">
      <c r="K69" s="49">
        <f t="shared" ca="1" si="3"/>
        <v>41778</v>
      </c>
    </row>
    <row r="70" spans="11:11" x14ac:dyDescent="0.25">
      <c r="K70" s="49">
        <f t="shared" ca="1" si="3"/>
        <v>41779</v>
      </c>
    </row>
    <row r="71" spans="11:11" x14ac:dyDescent="0.25">
      <c r="K71" s="49">
        <f t="shared" ca="1" si="3"/>
        <v>41780</v>
      </c>
    </row>
    <row r="72" spans="11:11" x14ac:dyDescent="0.25">
      <c r="K72" s="49">
        <f t="shared" ca="1" si="3"/>
        <v>41781</v>
      </c>
    </row>
    <row r="73" spans="11:11" x14ac:dyDescent="0.25">
      <c r="K73" s="49">
        <f t="shared" ca="1" si="3"/>
        <v>41782</v>
      </c>
    </row>
    <row r="74" spans="11:11" x14ac:dyDescent="0.25">
      <c r="K74" s="49">
        <f t="shared" ca="1" si="3"/>
        <v>41783</v>
      </c>
    </row>
    <row r="75" spans="11:11" x14ac:dyDescent="0.25">
      <c r="K75" s="49">
        <f t="shared" ca="1" si="3"/>
        <v>41784</v>
      </c>
    </row>
    <row r="76" spans="11:11" x14ac:dyDescent="0.25">
      <c r="K76" s="49">
        <f t="shared" ca="1" si="3"/>
        <v>41785</v>
      </c>
    </row>
    <row r="77" spans="11:11" x14ac:dyDescent="0.25">
      <c r="K77" s="49">
        <f t="shared" ca="1" si="3"/>
        <v>41786</v>
      </c>
    </row>
    <row r="78" spans="11:11" x14ac:dyDescent="0.25">
      <c r="K78" s="49">
        <f t="shared" ca="1" si="3"/>
        <v>41787</v>
      </c>
    </row>
    <row r="79" spans="11:11" x14ac:dyDescent="0.25">
      <c r="K79" s="49">
        <f t="shared" ca="1" si="3"/>
        <v>41788</v>
      </c>
    </row>
    <row r="80" spans="11:11" x14ac:dyDescent="0.25">
      <c r="K80" s="49">
        <f t="shared" ca="1" si="3"/>
        <v>41789</v>
      </c>
    </row>
    <row r="81" spans="11:11" x14ac:dyDescent="0.25">
      <c r="K81" s="49">
        <f t="shared" ca="1" si="3"/>
        <v>41790</v>
      </c>
    </row>
    <row r="82" spans="11:11" x14ac:dyDescent="0.25">
      <c r="K82" s="49">
        <f t="shared" ca="1" si="3"/>
        <v>41791</v>
      </c>
    </row>
    <row r="83" spans="11:11" x14ac:dyDescent="0.25">
      <c r="K83" s="49">
        <f t="shared" ca="1" si="3"/>
        <v>41792</v>
      </c>
    </row>
    <row r="84" spans="11:11" x14ac:dyDescent="0.25">
      <c r="K84" s="49">
        <f t="shared" ca="1" si="3"/>
        <v>41793</v>
      </c>
    </row>
    <row r="85" spans="11:11" x14ac:dyDescent="0.25">
      <c r="K85" s="49">
        <f t="shared" ca="1" si="3"/>
        <v>41794</v>
      </c>
    </row>
    <row r="86" spans="11:11" x14ac:dyDescent="0.25">
      <c r="K86" s="49">
        <f t="shared" ca="1" si="3"/>
        <v>41795</v>
      </c>
    </row>
    <row r="87" spans="11:11" x14ac:dyDescent="0.25">
      <c r="K87" s="49">
        <f t="shared" ca="1" si="3"/>
        <v>41796</v>
      </c>
    </row>
    <row r="88" spans="11:11" x14ac:dyDescent="0.25">
      <c r="K88" s="49">
        <f t="shared" ca="1" si="3"/>
        <v>41797</v>
      </c>
    </row>
    <row r="89" spans="11:11" x14ac:dyDescent="0.25">
      <c r="K89" s="49">
        <f t="shared" ca="1" si="3"/>
        <v>41798</v>
      </c>
    </row>
    <row r="90" spans="11:11" x14ac:dyDescent="0.25">
      <c r="K90" s="49">
        <f t="shared" ca="1" si="3"/>
        <v>41799</v>
      </c>
    </row>
    <row r="91" spans="11:11" x14ac:dyDescent="0.25">
      <c r="K91" s="49">
        <f t="shared" ca="1" si="3"/>
        <v>41800</v>
      </c>
    </row>
    <row r="92" spans="11:11" x14ac:dyDescent="0.25">
      <c r="K92" s="49">
        <f t="shared" ca="1" si="3"/>
        <v>41801</v>
      </c>
    </row>
    <row r="93" spans="11:11" x14ac:dyDescent="0.25">
      <c r="K93" s="49">
        <f t="shared" ca="1" si="3"/>
        <v>41802</v>
      </c>
    </row>
    <row r="94" spans="11:11" x14ac:dyDescent="0.25">
      <c r="K94" s="49">
        <f t="shared" ca="1" si="3"/>
        <v>41803</v>
      </c>
    </row>
    <row r="95" spans="11:11" x14ac:dyDescent="0.25">
      <c r="K95" s="49">
        <f t="shared" ca="1" si="3"/>
        <v>41804</v>
      </c>
    </row>
    <row r="96" spans="11:11" x14ac:dyDescent="0.25">
      <c r="K96" s="49">
        <f t="shared" ca="1" si="3"/>
        <v>41805</v>
      </c>
    </row>
    <row r="97" spans="11:11" x14ac:dyDescent="0.25">
      <c r="K97" s="49">
        <f t="shared" ca="1" si="3"/>
        <v>41806</v>
      </c>
    </row>
    <row r="98" spans="11:11" x14ac:dyDescent="0.25">
      <c r="K98" s="49">
        <f t="shared" ca="1" si="3"/>
        <v>41807</v>
      </c>
    </row>
    <row r="99" spans="11:11" x14ac:dyDescent="0.25">
      <c r="K99" s="49">
        <f t="shared" ca="1" si="3"/>
        <v>41808</v>
      </c>
    </row>
    <row r="100" spans="11:11" x14ac:dyDescent="0.25">
      <c r="K100" s="49">
        <f t="shared" ca="1" si="3"/>
        <v>41809</v>
      </c>
    </row>
    <row r="101" spans="11:11" x14ac:dyDescent="0.25">
      <c r="K101" s="49">
        <f t="shared" ca="1" si="3"/>
        <v>41810</v>
      </c>
    </row>
    <row r="102" spans="11:11" x14ac:dyDescent="0.25">
      <c r="K102" s="49">
        <f t="shared" ca="1" si="3"/>
        <v>41811</v>
      </c>
    </row>
    <row r="103" spans="11:11" x14ac:dyDescent="0.25">
      <c r="K103" s="49">
        <f t="shared" ca="1" si="3"/>
        <v>41812</v>
      </c>
    </row>
    <row r="104" spans="11:11" x14ac:dyDescent="0.25">
      <c r="K104" s="49">
        <f t="shared" ca="1" si="3"/>
        <v>41813</v>
      </c>
    </row>
    <row r="105" spans="11:11" x14ac:dyDescent="0.25">
      <c r="K105" s="49">
        <f t="shared" ca="1" si="3"/>
        <v>41814</v>
      </c>
    </row>
    <row r="106" spans="11:11" x14ac:dyDescent="0.25">
      <c r="K106" s="49">
        <f t="shared" ca="1" si="3"/>
        <v>41815</v>
      </c>
    </row>
    <row r="107" spans="11:11" x14ac:dyDescent="0.25">
      <c r="K107" s="49">
        <f t="shared" ca="1" si="3"/>
        <v>41816</v>
      </c>
    </row>
    <row r="108" spans="11:11" x14ac:dyDescent="0.25">
      <c r="K108" s="49">
        <f t="shared" ca="1" si="3"/>
        <v>41817</v>
      </c>
    </row>
    <row r="109" spans="11:11" x14ac:dyDescent="0.25">
      <c r="K109" s="49">
        <f t="shared" ca="1" si="3"/>
        <v>41818</v>
      </c>
    </row>
    <row r="110" spans="11:11" x14ac:dyDescent="0.25">
      <c r="K110" s="49">
        <f t="shared" ca="1" si="3"/>
        <v>41819</v>
      </c>
    </row>
    <row r="111" spans="11:11" x14ac:dyDescent="0.25">
      <c r="K111" s="49">
        <f t="shared" ca="1" si="3"/>
        <v>41820</v>
      </c>
    </row>
    <row r="112" spans="11:11" x14ac:dyDescent="0.25">
      <c r="K112" s="49">
        <f t="shared" ca="1" si="3"/>
        <v>41821</v>
      </c>
    </row>
    <row r="113" spans="11:11" x14ac:dyDescent="0.25">
      <c r="K113" s="49">
        <f t="shared" ca="1" si="3"/>
        <v>41822</v>
      </c>
    </row>
    <row r="114" spans="11:11" x14ac:dyDescent="0.25">
      <c r="K114" s="49">
        <f t="shared" ca="1" si="3"/>
        <v>41823</v>
      </c>
    </row>
    <row r="115" spans="11:11" x14ac:dyDescent="0.25">
      <c r="K115" s="49">
        <f t="shared" ca="1" si="3"/>
        <v>41824</v>
      </c>
    </row>
    <row r="116" spans="11:11" x14ac:dyDescent="0.25">
      <c r="K116" s="49">
        <f t="shared" ca="1" si="3"/>
        <v>41825</v>
      </c>
    </row>
    <row r="117" spans="11:11" x14ac:dyDescent="0.25">
      <c r="K117" s="49">
        <f t="shared" ca="1" si="3"/>
        <v>41826</v>
      </c>
    </row>
    <row r="118" spans="11:11" x14ac:dyDescent="0.25">
      <c r="K118" s="49">
        <f t="shared" ca="1" si="3"/>
        <v>41827</v>
      </c>
    </row>
    <row r="119" spans="11:11" x14ac:dyDescent="0.25">
      <c r="K119" s="49">
        <f t="shared" ca="1" si="3"/>
        <v>41828</v>
      </c>
    </row>
    <row r="120" spans="11:11" x14ac:dyDescent="0.25">
      <c r="K120" s="49">
        <f t="shared" ca="1" si="3"/>
        <v>41829</v>
      </c>
    </row>
    <row r="121" spans="11:11" x14ac:dyDescent="0.25">
      <c r="K121" s="49">
        <f t="shared" ca="1" si="3"/>
        <v>41830</v>
      </c>
    </row>
    <row r="122" spans="11:11" x14ac:dyDescent="0.25">
      <c r="K122" s="49">
        <f t="shared" ca="1" si="3"/>
        <v>41831</v>
      </c>
    </row>
    <row r="123" spans="11:11" x14ac:dyDescent="0.25">
      <c r="K123" s="49">
        <f t="shared" ca="1" si="3"/>
        <v>41832</v>
      </c>
    </row>
    <row r="124" spans="11:11" x14ac:dyDescent="0.25">
      <c r="K124" s="49">
        <f t="shared" ca="1" si="3"/>
        <v>41833</v>
      </c>
    </row>
    <row r="125" spans="11:11" x14ac:dyDescent="0.25">
      <c r="K125" s="49">
        <f t="shared" ca="1" si="3"/>
        <v>41834</v>
      </c>
    </row>
    <row r="126" spans="11:11" x14ac:dyDescent="0.25">
      <c r="K126" s="49">
        <f t="shared" ca="1" si="3"/>
        <v>41835</v>
      </c>
    </row>
    <row r="127" spans="11:11" x14ac:dyDescent="0.25">
      <c r="K127" s="49">
        <f t="shared" ca="1" si="3"/>
        <v>41836</v>
      </c>
    </row>
    <row r="128" spans="11:11" x14ac:dyDescent="0.25">
      <c r="K128" s="49">
        <f t="shared" ca="1" si="3"/>
        <v>41837</v>
      </c>
    </row>
    <row r="129" spans="11:11" x14ac:dyDescent="0.25">
      <c r="K129" s="49">
        <f t="shared" ca="1" si="3"/>
        <v>41838</v>
      </c>
    </row>
    <row r="130" spans="11:11" x14ac:dyDescent="0.25">
      <c r="K130" s="49">
        <f t="shared" ca="1" si="3"/>
        <v>41839</v>
      </c>
    </row>
    <row r="131" spans="11:11" x14ac:dyDescent="0.25">
      <c r="K131" s="49">
        <f t="shared" ca="1" si="3"/>
        <v>41840</v>
      </c>
    </row>
    <row r="132" spans="11:11" x14ac:dyDescent="0.25">
      <c r="K132" s="49">
        <f t="shared" ref="K132:K195" ca="1" si="4">K131+1</f>
        <v>41841</v>
      </c>
    </row>
    <row r="133" spans="11:11" x14ac:dyDescent="0.25">
      <c r="K133" s="49">
        <f t="shared" ca="1" si="4"/>
        <v>41842</v>
      </c>
    </row>
    <row r="134" spans="11:11" x14ac:dyDescent="0.25">
      <c r="K134" s="49">
        <f t="shared" ca="1" si="4"/>
        <v>41843</v>
      </c>
    </row>
    <row r="135" spans="11:11" x14ac:dyDescent="0.25">
      <c r="K135" s="49">
        <f t="shared" ca="1" si="4"/>
        <v>41844</v>
      </c>
    </row>
    <row r="136" spans="11:11" x14ac:dyDescent="0.25">
      <c r="K136" s="49">
        <f t="shared" ca="1" si="4"/>
        <v>41845</v>
      </c>
    </row>
    <row r="137" spans="11:11" x14ac:dyDescent="0.25">
      <c r="K137" s="49">
        <f t="shared" ca="1" si="4"/>
        <v>41846</v>
      </c>
    </row>
    <row r="138" spans="11:11" x14ac:dyDescent="0.25">
      <c r="K138" s="49">
        <f t="shared" ca="1" si="4"/>
        <v>41847</v>
      </c>
    </row>
    <row r="139" spans="11:11" x14ac:dyDescent="0.25">
      <c r="K139" s="49">
        <f t="shared" ca="1" si="4"/>
        <v>41848</v>
      </c>
    </row>
    <row r="140" spans="11:11" x14ac:dyDescent="0.25">
      <c r="K140" s="49">
        <f t="shared" ca="1" si="4"/>
        <v>41849</v>
      </c>
    </row>
    <row r="141" spans="11:11" x14ac:dyDescent="0.25">
      <c r="K141" s="49">
        <f t="shared" ca="1" si="4"/>
        <v>41850</v>
      </c>
    </row>
    <row r="142" spans="11:11" x14ac:dyDescent="0.25">
      <c r="K142" s="49">
        <f t="shared" ca="1" si="4"/>
        <v>41851</v>
      </c>
    </row>
    <row r="143" spans="11:11" x14ac:dyDescent="0.25">
      <c r="K143" s="49">
        <f t="shared" ca="1" si="4"/>
        <v>41852</v>
      </c>
    </row>
    <row r="144" spans="11:11" x14ac:dyDescent="0.25">
      <c r="K144" s="49">
        <f t="shared" ca="1" si="4"/>
        <v>41853</v>
      </c>
    </row>
    <row r="145" spans="11:11" x14ac:dyDescent="0.25">
      <c r="K145" s="49">
        <f t="shared" ca="1" si="4"/>
        <v>41854</v>
      </c>
    </row>
    <row r="146" spans="11:11" x14ac:dyDescent="0.25">
      <c r="K146" s="49">
        <f t="shared" ca="1" si="4"/>
        <v>41855</v>
      </c>
    </row>
    <row r="147" spans="11:11" x14ac:dyDescent="0.25">
      <c r="K147" s="49">
        <f t="shared" ca="1" si="4"/>
        <v>41856</v>
      </c>
    </row>
    <row r="148" spans="11:11" x14ac:dyDescent="0.25">
      <c r="K148" s="49">
        <f t="shared" ca="1" si="4"/>
        <v>41857</v>
      </c>
    </row>
    <row r="149" spans="11:11" x14ac:dyDescent="0.25">
      <c r="K149" s="49">
        <f t="shared" ca="1" si="4"/>
        <v>41858</v>
      </c>
    </row>
    <row r="150" spans="11:11" x14ac:dyDescent="0.25">
      <c r="K150" s="49">
        <f t="shared" ca="1" si="4"/>
        <v>41859</v>
      </c>
    </row>
    <row r="151" spans="11:11" x14ac:dyDescent="0.25">
      <c r="K151" s="49">
        <f t="shared" ca="1" si="4"/>
        <v>41860</v>
      </c>
    </row>
    <row r="152" spans="11:11" x14ac:dyDescent="0.25">
      <c r="K152" s="49">
        <f t="shared" ca="1" si="4"/>
        <v>41861</v>
      </c>
    </row>
    <row r="153" spans="11:11" x14ac:dyDescent="0.25">
      <c r="K153" s="49">
        <f t="shared" ca="1" si="4"/>
        <v>41862</v>
      </c>
    </row>
    <row r="154" spans="11:11" x14ac:dyDescent="0.25">
      <c r="K154" s="49">
        <f t="shared" ca="1" si="4"/>
        <v>41863</v>
      </c>
    </row>
    <row r="155" spans="11:11" x14ac:dyDescent="0.25">
      <c r="K155" s="49">
        <f t="shared" ca="1" si="4"/>
        <v>41864</v>
      </c>
    </row>
    <row r="156" spans="11:11" x14ac:dyDescent="0.25">
      <c r="K156" s="49">
        <f t="shared" ca="1" si="4"/>
        <v>41865</v>
      </c>
    </row>
    <row r="157" spans="11:11" x14ac:dyDescent="0.25">
      <c r="K157" s="49">
        <f t="shared" ca="1" si="4"/>
        <v>41866</v>
      </c>
    </row>
    <row r="158" spans="11:11" x14ac:dyDescent="0.25">
      <c r="K158" s="49">
        <f t="shared" ca="1" si="4"/>
        <v>41867</v>
      </c>
    </row>
    <row r="159" spans="11:11" x14ac:dyDescent="0.25">
      <c r="K159" s="49">
        <f t="shared" ca="1" si="4"/>
        <v>41868</v>
      </c>
    </row>
    <row r="160" spans="11:11" x14ac:dyDescent="0.25">
      <c r="K160" s="49">
        <f t="shared" ca="1" si="4"/>
        <v>41869</v>
      </c>
    </row>
    <row r="161" spans="11:11" x14ac:dyDescent="0.25">
      <c r="K161" s="49">
        <f t="shared" ca="1" si="4"/>
        <v>41870</v>
      </c>
    </row>
    <row r="162" spans="11:11" x14ac:dyDescent="0.25">
      <c r="K162" s="49">
        <f t="shared" ca="1" si="4"/>
        <v>41871</v>
      </c>
    </row>
    <row r="163" spans="11:11" x14ac:dyDescent="0.25">
      <c r="K163" s="49">
        <f t="shared" ca="1" si="4"/>
        <v>41872</v>
      </c>
    </row>
    <row r="164" spans="11:11" x14ac:dyDescent="0.25">
      <c r="K164" s="49">
        <f t="shared" ca="1" si="4"/>
        <v>41873</v>
      </c>
    </row>
    <row r="165" spans="11:11" x14ac:dyDescent="0.25">
      <c r="K165" s="49">
        <f t="shared" ca="1" si="4"/>
        <v>41874</v>
      </c>
    </row>
    <row r="166" spans="11:11" x14ac:dyDescent="0.25">
      <c r="K166" s="49">
        <f t="shared" ca="1" si="4"/>
        <v>41875</v>
      </c>
    </row>
    <row r="167" spans="11:11" x14ac:dyDescent="0.25">
      <c r="K167" s="49">
        <f t="shared" ca="1" si="4"/>
        <v>41876</v>
      </c>
    </row>
    <row r="168" spans="11:11" x14ac:dyDescent="0.25">
      <c r="K168" s="49">
        <f t="shared" ca="1" si="4"/>
        <v>41877</v>
      </c>
    </row>
    <row r="169" spans="11:11" x14ac:dyDescent="0.25">
      <c r="K169" s="49">
        <f t="shared" ca="1" si="4"/>
        <v>41878</v>
      </c>
    </row>
    <row r="170" spans="11:11" x14ac:dyDescent="0.25">
      <c r="K170" s="49">
        <f t="shared" ca="1" si="4"/>
        <v>41879</v>
      </c>
    </row>
    <row r="171" spans="11:11" x14ac:dyDescent="0.25">
      <c r="K171" s="49">
        <f t="shared" ca="1" si="4"/>
        <v>41880</v>
      </c>
    </row>
    <row r="172" spans="11:11" x14ac:dyDescent="0.25">
      <c r="K172" s="49">
        <f t="shared" ca="1" si="4"/>
        <v>41881</v>
      </c>
    </row>
    <row r="173" spans="11:11" x14ac:dyDescent="0.25">
      <c r="K173" s="49">
        <f t="shared" ca="1" si="4"/>
        <v>41882</v>
      </c>
    </row>
    <row r="174" spans="11:11" x14ac:dyDescent="0.25">
      <c r="K174" s="49">
        <f t="shared" ca="1" si="4"/>
        <v>41883</v>
      </c>
    </row>
    <row r="175" spans="11:11" x14ac:dyDescent="0.25">
      <c r="K175" s="49">
        <f t="shared" ca="1" si="4"/>
        <v>41884</v>
      </c>
    </row>
    <row r="176" spans="11:11" x14ac:dyDescent="0.25">
      <c r="K176" s="49">
        <f t="shared" ca="1" si="4"/>
        <v>41885</v>
      </c>
    </row>
    <row r="177" spans="11:11" x14ac:dyDescent="0.25">
      <c r="K177" s="49">
        <f t="shared" ca="1" si="4"/>
        <v>41886</v>
      </c>
    </row>
    <row r="178" spans="11:11" x14ac:dyDescent="0.25">
      <c r="K178" s="49">
        <f t="shared" ca="1" si="4"/>
        <v>41887</v>
      </c>
    </row>
    <row r="179" spans="11:11" x14ac:dyDescent="0.25">
      <c r="K179" s="49">
        <f t="shared" ca="1" si="4"/>
        <v>41888</v>
      </c>
    </row>
    <row r="180" spans="11:11" x14ac:dyDescent="0.25">
      <c r="K180" s="49">
        <f t="shared" ca="1" si="4"/>
        <v>41889</v>
      </c>
    </row>
    <row r="181" spans="11:11" x14ac:dyDescent="0.25">
      <c r="K181" s="49">
        <f t="shared" ca="1" si="4"/>
        <v>41890</v>
      </c>
    </row>
    <row r="182" spans="11:11" x14ac:dyDescent="0.25">
      <c r="K182" s="49">
        <f t="shared" ca="1" si="4"/>
        <v>41891</v>
      </c>
    </row>
    <row r="183" spans="11:11" x14ac:dyDescent="0.25">
      <c r="K183" s="49">
        <f t="shared" ca="1" si="4"/>
        <v>41892</v>
      </c>
    </row>
    <row r="184" spans="11:11" x14ac:dyDescent="0.25">
      <c r="K184" s="49">
        <f t="shared" ca="1" si="4"/>
        <v>41893</v>
      </c>
    </row>
    <row r="185" spans="11:11" x14ac:dyDescent="0.25">
      <c r="K185" s="49">
        <f t="shared" ca="1" si="4"/>
        <v>41894</v>
      </c>
    </row>
    <row r="186" spans="11:11" x14ac:dyDescent="0.25">
      <c r="K186" s="49">
        <f t="shared" ca="1" si="4"/>
        <v>41895</v>
      </c>
    </row>
    <row r="187" spans="11:11" x14ac:dyDescent="0.25">
      <c r="K187" s="49">
        <f t="shared" ca="1" si="4"/>
        <v>41896</v>
      </c>
    </row>
    <row r="188" spans="11:11" x14ac:dyDescent="0.25">
      <c r="K188" s="49">
        <f t="shared" ca="1" si="4"/>
        <v>41897</v>
      </c>
    </row>
    <row r="189" spans="11:11" x14ac:dyDescent="0.25">
      <c r="K189" s="49">
        <f t="shared" ca="1" si="4"/>
        <v>41898</v>
      </c>
    </row>
    <row r="190" spans="11:11" x14ac:dyDescent="0.25">
      <c r="K190" s="49">
        <f t="shared" ca="1" si="4"/>
        <v>41899</v>
      </c>
    </row>
    <row r="191" spans="11:11" x14ac:dyDescent="0.25">
      <c r="K191" s="49">
        <f t="shared" ca="1" si="4"/>
        <v>41900</v>
      </c>
    </row>
    <row r="192" spans="11:11" x14ac:dyDescent="0.25">
      <c r="K192" s="49">
        <f t="shared" ca="1" si="4"/>
        <v>41901</v>
      </c>
    </row>
    <row r="193" spans="11:11" x14ac:dyDescent="0.25">
      <c r="K193" s="49">
        <f t="shared" ca="1" si="4"/>
        <v>41902</v>
      </c>
    </row>
    <row r="194" spans="11:11" x14ac:dyDescent="0.25">
      <c r="K194" s="49">
        <f t="shared" ca="1" si="4"/>
        <v>41903</v>
      </c>
    </row>
    <row r="195" spans="11:11" x14ac:dyDescent="0.25">
      <c r="K195" s="49">
        <f t="shared" ca="1" si="4"/>
        <v>41904</v>
      </c>
    </row>
    <row r="196" spans="11:11" x14ac:dyDescent="0.25">
      <c r="K196" s="49">
        <f t="shared" ref="K196:K259" ca="1" si="5">K195+1</f>
        <v>41905</v>
      </c>
    </row>
    <row r="197" spans="11:11" x14ac:dyDescent="0.25">
      <c r="K197" s="49">
        <f t="shared" ca="1" si="5"/>
        <v>41906</v>
      </c>
    </row>
    <row r="198" spans="11:11" x14ac:dyDescent="0.25">
      <c r="K198" s="49">
        <f t="shared" ca="1" si="5"/>
        <v>41907</v>
      </c>
    </row>
    <row r="199" spans="11:11" x14ac:dyDescent="0.25">
      <c r="K199" s="49">
        <f t="shared" ca="1" si="5"/>
        <v>41908</v>
      </c>
    </row>
    <row r="200" spans="11:11" x14ac:dyDescent="0.25">
      <c r="K200" s="49">
        <f t="shared" ca="1" si="5"/>
        <v>41909</v>
      </c>
    </row>
    <row r="201" spans="11:11" x14ac:dyDescent="0.25">
      <c r="K201" s="49">
        <f t="shared" ca="1" si="5"/>
        <v>41910</v>
      </c>
    </row>
    <row r="202" spans="11:11" x14ac:dyDescent="0.25">
      <c r="K202" s="49">
        <f t="shared" ca="1" si="5"/>
        <v>41911</v>
      </c>
    </row>
    <row r="203" spans="11:11" x14ac:dyDescent="0.25">
      <c r="K203" s="49">
        <f t="shared" ca="1" si="5"/>
        <v>41912</v>
      </c>
    </row>
    <row r="204" spans="11:11" x14ac:dyDescent="0.25">
      <c r="K204" s="49">
        <f t="shared" ca="1" si="5"/>
        <v>41913</v>
      </c>
    </row>
    <row r="205" spans="11:11" x14ac:dyDescent="0.25">
      <c r="K205" s="49">
        <f t="shared" ca="1" si="5"/>
        <v>41914</v>
      </c>
    </row>
    <row r="206" spans="11:11" x14ac:dyDescent="0.25">
      <c r="K206" s="49">
        <f t="shared" ca="1" si="5"/>
        <v>41915</v>
      </c>
    </row>
    <row r="207" spans="11:11" x14ac:dyDescent="0.25">
      <c r="K207" s="49">
        <f t="shared" ca="1" si="5"/>
        <v>41916</v>
      </c>
    </row>
    <row r="208" spans="11:11" x14ac:dyDescent="0.25">
      <c r="K208" s="49">
        <f t="shared" ca="1" si="5"/>
        <v>41917</v>
      </c>
    </row>
    <row r="209" spans="11:11" x14ac:dyDescent="0.25">
      <c r="K209" s="49">
        <f t="shared" ca="1" si="5"/>
        <v>41918</v>
      </c>
    </row>
    <row r="210" spans="11:11" x14ac:dyDescent="0.25">
      <c r="K210" s="49">
        <f t="shared" ca="1" si="5"/>
        <v>41919</v>
      </c>
    </row>
    <row r="211" spans="11:11" x14ac:dyDescent="0.25">
      <c r="K211" s="49">
        <f t="shared" ca="1" si="5"/>
        <v>41920</v>
      </c>
    </row>
    <row r="212" spans="11:11" x14ac:dyDescent="0.25">
      <c r="K212" s="49">
        <f t="shared" ca="1" si="5"/>
        <v>41921</v>
      </c>
    </row>
    <row r="213" spans="11:11" x14ac:dyDescent="0.25">
      <c r="K213" s="49">
        <f t="shared" ca="1" si="5"/>
        <v>41922</v>
      </c>
    </row>
    <row r="214" spans="11:11" x14ac:dyDescent="0.25">
      <c r="K214" s="49">
        <f t="shared" ca="1" si="5"/>
        <v>41923</v>
      </c>
    </row>
    <row r="215" spans="11:11" x14ac:dyDescent="0.25">
      <c r="K215" s="49">
        <f t="shared" ca="1" si="5"/>
        <v>41924</v>
      </c>
    </row>
    <row r="216" spans="11:11" x14ac:dyDescent="0.25">
      <c r="K216" s="49">
        <f t="shared" ca="1" si="5"/>
        <v>41925</v>
      </c>
    </row>
    <row r="217" spans="11:11" x14ac:dyDescent="0.25">
      <c r="K217" s="49">
        <f t="shared" ca="1" si="5"/>
        <v>41926</v>
      </c>
    </row>
    <row r="218" spans="11:11" x14ac:dyDescent="0.25">
      <c r="K218" s="49">
        <f t="shared" ca="1" si="5"/>
        <v>41927</v>
      </c>
    </row>
    <row r="219" spans="11:11" x14ac:dyDescent="0.25">
      <c r="K219" s="49">
        <f t="shared" ca="1" si="5"/>
        <v>41928</v>
      </c>
    </row>
    <row r="220" spans="11:11" x14ac:dyDescent="0.25">
      <c r="K220" s="49">
        <f t="shared" ca="1" si="5"/>
        <v>41929</v>
      </c>
    </row>
    <row r="221" spans="11:11" x14ac:dyDescent="0.25">
      <c r="K221" s="49">
        <f t="shared" ca="1" si="5"/>
        <v>41930</v>
      </c>
    </row>
    <row r="222" spans="11:11" x14ac:dyDescent="0.25">
      <c r="K222" s="49">
        <f t="shared" ca="1" si="5"/>
        <v>41931</v>
      </c>
    </row>
    <row r="223" spans="11:11" x14ac:dyDescent="0.25">
      <c r="K223" s="49">
        <f t="shared" ca="1" si="5"/>
        <v>41932</v>
      </c>
    </row>
    <row r="224" spans="11:11" x14ac:dyDescent="0.25">
      <c r="K224" s="49">
        <f t="shared" ca="1" si="5"/>
        <v>41933</v>
      </c>
    </row>
    <row r="225" spans="11:11" x14ac:dyDescent="0.25">
      <c r="K225" s="49">
        <f t="shared" ca="1" si="5"/>
        <v>41934</v>
      </c>
    </row>
    <row r="226" spans="11:11" x14ac:dyDescent="0.25">
      <c r="K226" s="49">
        <f t="shared" ca="1" si="5"/>
        <v>41935</v>
      </c>
    </row>
    <row r="227" spans="11:11" x14ac:dyDescent="0.25">
      <c r="K227" s="49">
        <f t="shared" ca="1" si="5"/>
        <v>41936</v>
      </c>
    </row>
    <row r="228" spans="11:11" x14ac:dyDescent="0.25">
      <c r="K228" s="49">
        <f t="shared" ca="1" si="5"/>
        <v>41937</v>
      </c>
    </row>
    <row r="229" spans="11:11" x14ac:dyDescent="0.25">
      <c r="K229" s="49">
        <f t="shared" ca="1" si="5"/>
        <v>41938</v>
      </c>
    </row>
    <row r="230" spans="11:11" x14ac:dyDescent="0.25">
      <c r="K230" s="49">
        <f t="shared" ca="1" si="5"/>
        <v>41939</v>
      </c>
    </row>
    <row r="231" spans="11:11" x14ac:dyDescent="0.25">
      <c r="K231" s="49">
        <f t="shared" ca="1" si="5"/>
        <v>41940</v>
      </c>
    </row>
    <row r="232" spans="11:11" x14ac:dyDescent="0.25">
      <c r="K232" s="49">
        <f t="shared" ca="1" si="5"/>
        <v>41941</v>
      </c>
    </row>
    <row r="233" spans="11:11" x14ac:dyDescent="0.25">
      <c r="K233" s="49">
        <f t="shared" ca="1" si="5"/>
        <v>41942</v>
      </c>
    </row>
    <row r="234" spans="11:11" x14ac:dyDescent="0.25">
      <c r="K234" s="49">
        <f t="shared" ca="1" si="5"/>
        <v>41943</v>
      </c>
    </row>
    <row r="235" spans="11:11" x14ac:dyDescent="0.25">
      <c r="K235" s="49">
        <f t="shared" ca="1" si="5"/>
        <v>41944</v>
      </c>
    </row>
    <row r="236" spans="11:11" x14ac:dyDescent="0.25">
      <c r="K236" s="49">
        <f t="shared" ca="1" si="5"/>
        <v>41945</v>
      </c>
    </row>
    <row r="237" spans="11:11" x14ac:dyDescent="0.25">
      <c r="K237" s="49">
        <f t="shared" ca="1" si="5"/>
        <v>41946</v>
      </c>
    </row>
    <row r="238" spans="11:11" x14ac:dyDescent="0.25">
      <c r="K238" s="49">
        <f t="shared" ca="1" si="5"/>
        <v>41947</v>
      </c>
    </row>
    <row r="239" spans="11:11" x14ac:dyDescent="0.25">
      <c r="K239" s="49">
        <f t="shared" ca="1" si="5"/>
        <v>41948</v>
      </c>
    </row>
    <row r="240" spans="11:11" x14ac:dyDescent="0.25">
      <c r="K240" s="49">
        <f t="shared" ca="1" si="5"/>
        <v>41949</v>
      </c>
    </row>
    <row r="241" spans="11:11" x14ac:dyDescent="0.25">
      <c r="K241" s="49">
        <f t="shared" ca="1" si="5"/>
        <v>41950</v>
      </c>
    </row>
    <row r="242" spans="11:11" x14ac:dyDescent="0.25">
      <c r="K242" s="49">
        <f t="shared" ca="1" si="5"/>
        <v>41951</v>
      </c>
    </row>
    <row r="243" spans="11:11" x14ac:dyDescent="0.25">
      <c r="K243" s="49">
        <f t="shared" ca="1" si="5"/>
        <v>41952</v>
      </c>
    </row>
    <row r="244" spans="11:11" x14ac:dyDescent="0.25">
      <c r="K244" s="49">
        <f t="shared" ca="1" si="5"/>
        <v>41953</v>
      </c>
    </row>
    <row r="245" spans="11:11" x14ac:dyDescent="0.25">
      <c r="K245" s="49">
        <f t="shared" ca="1" si="5"/>
        <v>41954</v>
      </c>
    </row>
    <row r="246" spans="11:11" x14ac:dyDescent="0.25">
      <c r="K246" s="49">
        <f t="shared" ca="1" si="5"/>
        <v>41955</v>
      </c>
    </row>
    <row r="247" spans="11:11" x14ac:dyDescent="0.25">
      <c r="K247" s="49">
        <f t="shared" ca="1" si="5"/>
        <v>41956</v>
      </c>
    </row>
    <row r="248" spans="11:11" x14ac:dyDescent="0.25">
      <c r="K248" s="49">
        <f t="shared" ca="1" si="5"/>
        <v>41957</v>
      </c>
    </row>
    <row r="249" spans="11:11" x14ac:dyDescent="0.25">
      <c r="K249" s="49">
        <f t="shared" ca="1" si="5"/>
        <v>41958</v>
      </c>
    </row>
    <row r="250" spans="11:11" x14ac:dyDescent="0.25">
      <c r="K250" s="49">
        <f t="shared" ca="1" si="5"/>
        <v>41959</v>
      </c>
    </row>
    <row r="251" spans="11:11" x14ac:dyDescent="0.25">
      <c r="K251" s="49">
        <f t="shared" ca="1" si="5"/>
        <v>41960</v>
      </c>
    </row>
    <row r="252" spans="11:11" x14ac:dyDescent="0.25">
      <c r="K252" s="49">
        <f t="shared" ca="1" si="5"/>
        <v>41961</v>
      </c>
    </row>
    <row r="253" spans="11:11" x14ac:dyDescent="0.25">
      <c r="K253" s="49">
        <f t="shared" ca="1" si="5"/>
        <v>41962</v>
      </c>
    </row>
    <row r="254" spans="11:11" x14ac:dyDescent="0.25">
      <c r="K254" s="49">
        <f t="shared" ca="1" si="5"/>
        <v>41963</v>
      </c>
    </row>
    <row r="255" spans="11:11" x14ac:dyDescent="0.25">
      <c r="K255" s="49">
        <f t="shared" ca="1" si="5"/>
        <v>41964</v>
      </c>
    </row>
    <row r="256" spans="11:11" x14ac:dyDescent="0.25">
      <c r="K256" s="49">
        <f t="shared" ca="1" si="5"/>
        <v>41965</v>
      </c>
    </row>
    <row r="257" spans="11:11" x14ac:dyDescent="0.25">
      <c r="K257" s="49">
        <f t="shared" ca="1" si="5"/>
        <v>41966</v>
      </c>
    </row>
    <row r="258" spans="11:11" x14ac:dyDescent="0.25">
      <c r="K258" s="49">
        <f t="shared" ca="1" si="5"/>
        <v>41967</v>
      </c>
    </row>
    <row r="259" spans="11:11" x14ac:dyDescent="0.25">
      <c r="K259" s="49">
        <f t="shared" ca="1" si="5"/>
        <v>41968</v>
      </c>
    </row>
    <row r="260" spans="11:11" x14ac:dyDescent="0.25">
      <c r="K260" s="49">
        <f t="shared" ref="K260:K323" ca="1" si="6">K259+1</f>
        <v>41969</v>
      </c>
    </row>
    <row r="261" spans="11:11" x14ac:dyDescent="0.25">
      <c r="K261" s="49">
        <f t="shared" ca="1" si="6"/>
        <v>41970</v>
      </c>
    </row>
    <row r="262" spans="11:11" x14ac:dyDescent="0.25">
      <c r="K262" s="49">
        <f t="shared" ca="1" si="6"/>
        <v>41971</v>
      </c>
    </row>
    <row r="263" spans="11:11" x14ac:dyDescent="0.25">
      <c r="K263" s="49">
        <f t="shared" ca="1" si="6"/>
        <v>41972</v>
      </c>
    </row>
    <row r="264" spans="11:11" x14ac:dyDescent="0.25">
      <c r="K264" s="49">
        <f t="shared" ca="1" si="6"/>
        <v>41973</v>
      </c>
    </row>
    <row r="265" spans="11:11" x14ac:dyDescent="0.25">
      <c r="K265" s="49">
        <f t="shared" ca="1" si="6"/>
        <v>41974</v>
      </c>
    </row>
    <row r="266" spans="11:11" x14ac:dyDescent="0.25">
      <c r="K266" s="49">
        <f t="shared" ca="1" si="6"/>
        <v>41975</v>
      </c>
    </row>
    <row r="267" spans="11:11" x14ac:dyDescent="0.25">
      <c r="K267" s="49">
        <f t="shared" ca="1" si="6"/>
        <v>41976</v>
      </c>
    </row>
    <row r="268" spans="11:11" x14ac:dyDescent="0.25">
      <c r="K268" s="49">
        <f t="shared" ca="1" si="6"/>
        <v>41977</v>
      </c>
    </row>
    <row r="269" spans="11:11" x14ac:dyDescent="0.25">
      <c r="K269" s="49">
        <f t="shared" ca="1" si="6"/>
        <v>41978</v>
      </c>
    </row>
    <row r="270" spans="11:11" x14ac:dyDescent="0.25">
      <c r="K270" s="49">
        <f t="shared" ca="1" si="6"/>
        <v>41979</v>
      </c>
    </row>
    <row r="271" spans="11:11" x14ac:dyDescent="0.25">
      <c r="K271" s="49">
        <f t="shared" ca="1" si="6"/>
        <v>41980</v>
      </c>
    </row>
    <row r="272" spans="11:11" x14ac:dyDescent="0.25">
      <c r="K272" s="49">
        <f t="shared" ca="1" si="6"/>
        <v>41981</v>
      </c>
    </row>
    <row r="273" spans="11:11" x14ac:dyDescent="0.25">
      <c r="K273" s="49">
        <f t="shared" ca="1" si="6"/>
        <v>41982</v>
      </c>
    </row>
    <row r="274" spans="11:11" x14ac:dyDescent="0.25">
      <c r="K274" s="49">
        <f t="shared" ca="1" si="6"/>
        <v>41983</v>
      </c>
    </row>
    <row r="275" spans="11:11" x14ac:dyDescent="0.25">
      <c r="K275" s="49">
        <f t="shared" ca="1" si="6"/>
        <v>41984</v>
      </c>
    </row>
    <row r="276" spans="11:11" x14ac:dyDescent="0.25">
      <c r="K276" s="49">
        <f t="shared" ca="1" si="6"/>
        <v>41985</v>
      </c>
    </row>
    <row r="277" spans="11:11" x14ac:dyDescent="0.25">
      <c r="K277" s="49">
        <f t="shared" ca="1" si="6"/>
        <v>41986</v>
      </c>
    </row>
    <row r="278" spans="11:11" x14ac:dyDescent="0.25">
      <c r="K278" s="49">
        <f t="shared" ca="1" si="6"/>
        <v>41987</v>
      </c>
    </row>
    <row r="279" spans="11:11" x14ac:dyDescent="0.25">
      <c r="K279" s="49">
        <f t="shared" ca="1" si="6"/>
        <v>41988</v>
      </c>
    </row>
    <row r="280" spans="11:11" x14ac:dyDescent="0.25">
      <c r="K280" s="49">
        <f t="shared" ca="1" si="6"/>
        <v>41989</v>
      </c>
    </row>
    <row r="281" spans="11:11" x14ac:dyDescent="0.25">
      <c r="K281" s="49">
        <f t="shared" ca="1" si="6"/>
        <v>41990</v>
      </c>
    </row>
    <row r="282" spans="11:11" x14ac:dyDescent="0.25">
      <c r="K282" s="49">
        <f t="shared" ca="1" si="6"/>
        <v>41991</v>
      </c>
    </row>
    <row r="283" spans="11:11" x14ac:dyDescent="0.25">
      <c r="K283" s="49">
        <f t="shared" ca="1" si="6"/>
        <v>41992</v>
      </c>
    </row>
    <row r="284" spans="11:11" x14ac:dyDescent="0.25">
      <c r="K284" s="49">
        <f t="shared" ca="1" si="6"/>
        <v>41993</v>
      </c>
    </row>
    <row r="285" spans="11:11" x14ac:dyDescent="0.25">
      <c r="K285" s="49">
        <f t="shared" ca="1" si="6"/>
        <v>41994</v>
      </c>
    </row>
    <row r="286" spans="11:11" x14ac:dyDescent="0.25">
      <c r="K286" s="49">
        <f t="shared" ca="1" si="6"/>
        <v>41995</v>
      </c>
    </row>
    <row r="287" spans="11:11" x14ac:dyDescent="0.25">
      <c r="K287" s="49">
        <f t="shared" ca="1" si="6"/>
        <v>41996</v>
      </c>
    </row>
    <row r="288" spans="11:11" x14ac:dyDescent="0.25">
      <c r="K288" s="49">
        <f t="shared" ca="1" si="6"/>
        <v>41997</v>
      </c>
    </row>
    <row r="289" spans="11:11" x14ac:dyDescent="0.25">
      <c r="K289" s="49">
        <f t="shared" ca="1" si="6"/>
        <v>41998</v>
      </c>
    </row>
    <row r="290" spans="11:11" x14ac:dyDescent="0.25">
      <c r="K290" s="49">
        <f t="shared" ca="1" si="6"/>
        <v>41999</v>
      </c>
    </row>
    <row r="291" spans="11:11" x14ac:dyDescent="0.25">
      <c r="K291" s="49">
        <f t="shared" ca="1" si="6"/>
        <v>42000</v>
      </c>
    </row>
    <row r="292" spans="11:11" x14ac:dyDescent="0.25">
      <c r="K292" s="49">
        <f t="shared" ca="1" si="6"/>
        <v>42001</v>
      </c>
    </row>
    <row r="293" spans="11:11" x14ac:dyDescent="0.25">
      <c r="K293" s="49">
        <f t="shared" ca="1" si="6"/>
        <v>42002</v>
      </c>
    </row>
    <row r="294" spans="11:11" x14ac:dyDescent="0.25">
      <c r="K294" s="49">
        <f t="shared" ca="1" si="6"/>
        <v>42003</v>
      </c>
    </row>
    <row r="295" spans="11:11" x14ac:dyDescent="0.25">
      <c r="K295" s="49">
        <f t="shared" ca="1" si="6"/>
        <v>42004</v>
      </c>
    </row>
    <row r="296" spans="11:11" x14ac:dyDescent="0.25">
      <c r="K296" s="49">
        <f t="shared" ca="1" si="6"/>
        <v>42005</v>
      </c>
    </row>
    <row r="297" spans="11:11" x14ac:dyDescent="0.25">
      <c r="K297" s="49">
        <f t="shared" ca="1" si="6"/>
        <v>42006</v>
      </c>
    </row>
    <row r="298" spans="11:11" x14ac:dyDescent="0.25">
      <c r="K298" s="49">
        <f t="shared" ca="1" si="6"/>
        <v>42007</v>
      </c>
    </row>
    <row r="299" spans="11:11" x14ac:dyDescent="0.25">
      <c r="K299" s="49">
        <f t="shared" ca="1" si="6"/>
        <v>42008</v>
      </c>
    </row>
    <row r="300" spans="11:11" x14ac:dyDescent="0.25">
      <c r="K300" s="49">
        <f t="shared" ca="1" si="6"/>
        <v>42009</v>
      </c>
    </row>
    <row r="301" spans="11:11" x14ac:dyDescent="0.25">
      <c r="K301" s="49">
        <f t="shared" ca="1" si="6"/>
        <v>42010</v>
      </c>
    </row>
    <row r="302" spans="11:11" x14ac:dyDescent="0.25">
      <c r="K302" s="49">
        <f t="shared" ca="1" si="6"/>
        <v>42011</v>
      </c>
    </row>
    <row r="303" spans="11:11" x14ac:dyDescent="0.25">
      <c r="K303" s="49">
        <f t="shared" ca="1" si="6"/>
        <v>42012</v>
      </c>
    </row>
    <row r="304" spans="11:11" x14ac:dyDescent="0.25">
      <c r="K304" s="49">
        <f t="shared" ca="1" si="6"/>
        <v>42013</v>
      </c>
    </row>
    <row r="305" spans="11:11" x14ac:dyDescent="0.25">
      <c r="K305" s="49">
        <f t="shared" ca="1" si="6"/>
        <v>42014</v>
      </c>
    </row>
    <row r="306" spans="11:11" x14ac:dyDescent="0.25">
      <c r="K306" s="49">
        <f t="shared" ca="1" si="6"/>
        <v>42015</v>
      </c>
    </row>
    <row r="307" spans="11:11" x14ac:dyDescent="0.25">
      <c r="K307" s="49">
        <f t="shared" ca="1" si="6"/>
        <v>42016</v>
      </c>
    </row>
    <row r="308" spans="11:11" x14ac:dyDescent="0.25">
      <c r="K308" s="49">
        <f t="shared" ca="1" si="6"/>
        <v>42017</v>
      </c>
    </row>
    <row r="309" spans="11:11" x14ac:dyDescent="0.25">
      <c r="K309" s="49">
        <f t="shared" ca="1" si="6"/>
        <v>42018</v>
      </c>
    </row>
    <row r="310" spans="11:11" x14ac:dyDescent="0.25">
      <c r="K310" s="49">
        <f t="shared" ca="1" si="6"/>
        <v>42019</v>
      </c>
    </row>
    <row r="311" spans="11:11" x14ac:dyDescent="0.25">
      <c r="K311" s="49">
        <f t="shared" ca="1" si="6"/>
        <v>42020</v>
      </c>
    </row>
    <row r="312" spans="11:11" x14ac:dyDescent="0.25">
      <c r="K312" s="49">
        <f t="shared" ca="1" si="6"/>
        <v>42021</v>
      </c>
    </row>
    <row r="313" spans="11:11" x14ac:dyDescent="0.25">
      <c r="K313" s="49">
        <f t="shared" ca="1" si="6"/>
        <v>42022</v>
      </c>
    </row>
    <row r="314" spans="11:11" x14ac:dyDescent="0.25">
      <c r="K314" s="49">
        <f t="shared" ca="1" si="6"/>
        <v>42023</v>
      </c>
    </row>
    <row r="315" spans="11:11" x14ac:dyDescent="0.25">
      <c r="K315" s="49">
        <f t="shared" ca="1" si="6"/>
        <v>42024</v>
      </c>
    </row>
    <row r="316" spans="11:11" x14ac:dyDescent="0.25">
      <c r="K316" s="49">
        <f t="shared" ca="1" si="6"/>
        <v>42025</v>
      </c>
    </row>
    <row r="317" spans="11:11" x14ac:dyDescent="0.25">
      <c r="K317" s="49">
        <f t="shared" ca="1" si="6"/>
        <v>42026</v>
      </c>
    </row>
    <row r="318" spans="11:11" x14ac:dyDescent="0.25">
      <c r="K318" s="49">
        <f t="shared" ca="1" si="6"/>
        <v>42027</v>
      </c>
    </row>
    <row r="319" spans="11:11" x14ac:dyDescent="0.25">
      <c r="K319" s="49">
        <f t="shared" ca="1" si="6"/>
        <v>42028</v>
      </c>
    </row>
    <row r="320" spans="11:11" x14ac:dyDescent="0.25">
      <c r="K320" s="49">
        <f t="shared" ca="1" si="6"/>
        <v>42029</v>
      </c>
    </row>
    <row r="321" spans="11:11" x14ac:dyDescent="0.25">
      <c r="K321" s="49">
        <f t="shared" ca="1" si="6"/>
        <v>42030</v>
      </c>
    </row>
    <row r="322" spans="11:11" x14ac:dyDescent="0.25">
      <c r="K322" s="49">
        <f t="shared" ca="1" si="6"/>
        <v>42031</v>
      </c>
    </row>
    <row r="323" spans="11:11" x14ac:dyDescent="0.25">
      <c r="K323" s="49">
        <f t="shared" ca="1" si="6"/>
        <v>42032</v>
      </c>
    </row>
    <row r="324" spans="11:11" x14ac:dyDescent="0.25">
      <c r="K324" s="49">
        <f t="shared" ref="K324:K365" ca="1" si="7">K323+1</f>
        <v>42033</v>
      </c>
    </row>
    <row r="325" spans="11:11" x14ac:dyDescent="0.25">
      <c r="K325" s="49">
        <f t="shared" ca="1" si="7"/>
        <v>42034</v>
      </c>
    </row>
    <row r="326" spans="11:11" x14ac:dyDescent="0.25">
      <c r="K326" s="49">
        <f t="shared" ca="1" si="7"/>
        <v>42035</v>
      </c>
    </row>
    <row r="327" spans="11:11" x14ac:dyDescent="0.25">
      <c r="K327" s="49">
        <f t="shared" ca="1" si="7"/>
        <v>42036</v>
      </c>
    </row>
    <row r="328" spans="11:11" x14ac:dyDescent="0.25">
      <c r="K328" s="49">
        <f t="shared" ca="1" si="7"/>
        <v>42037</v>
      </c>
    </row>
    <row r="329" spans="11:11" x14ac:dyDescent="0.25">
      <c r="K329" s="49">
        <f t="shared" ca="1" si="7"/>
        <v>42038</v>
      </c>
    </row>
    <row r="330" spans="11:11" x14ac:dyDescent="0.25">
      <c r="K330" s="49">
        <f t="shared" ca="1" si="7"/>
        <v>42039</v>
      </c>
    </row>
    <row r="331" spans="11:11" x14ac:dyDescent="0.25">
      <c r="K331" s="49">
        <f t="shared" ca="1" si="7"/>
        <v>42040</v>
      </c>
    </row>
    <row r="332" spans="11:11" x14ac:dyDescent="0.25">
      <c r="K332" s="49">
        <f t="shared" ca="1" si="7"/>
        <v>42041</v>
      </c>
    </row>
    <row r="333" spans="11:11" x14ac:dyDescent="0.25">
      <c r="K333" s="49">
        <f t="shared" ca="1" si="7"/>
        <v>42042</v>
      </c>
    </row>
    <row r="334" spans="11:11" x14ac:dyDescent="0.25">
      <c r="K334" s="49">
        <f t="shared" ca="1" si="7"/>
        <v>42043</v>
      </c>
    </row>
    <row r="335" spans="11:11" x14ac:dyDescent="0.25">
      <c r="K335" s="49">
        <f t="shared" ca="1" si="7"/>
        <v>42044</v>
      </c>
    </row>
    <row r="336" spans="11:11" x14ac:dyDescent="0.25">
      <c r="K336" s="49">
        <f t="shared" ca="1" si="7"/>
        <v>42045</v>
      </c>
    </row>
    <row r="337" spans="11:11" x14ac:dyDescent="0.25">
      <c r="K337" s="49">
        <f t="shared" ca="1" si="7"/>
        <v>42046</v>
      </c>
    </row>
    <row r="338" spans="11:11" x14ac:dyDescent="0.25">
      <c r="K338" s="49">
        <f t="shared" ca="1" si="7"/>
        <v>42047</v>
      </c>
    </row>
    <row r="339" spans="11:11" x14ac:dyDescent="0.25">
      <c r="K339" s="49">
        <f t="shared" ca="1" si="7"/>
        <v>42048</v>
      </c>
    </row>
    <row r="340" spans="11:11" x14ac:dyDescent="0.25">
      <c r="K340" s="49">
        <f t="shared" ca="1" si="7"/>
        <v>42049</v>
      </c>
    </row>
    <row r="341" spans="11:11" x14ac:dyDescent="0.25">
      <c r="K341" s="49">
        <f t="shared" ca="1" si="7"/>
        <v>42050</v>
      </c>
    </row>
    <row r="342" spans="11:11" x14ac:dyDescent="0.25">
      <c r="K342" s="49">
        <f t="shared" ca="1" si="7"/>
        <v>42051</v>
      </c>
    </row>
    <row r="343" spans="11:11" x14ac:dyDescent="0.25">
      <c r="K343" s="49">
        <f t="shared" ca="1" si="7"/>
        <v>42052</v>
      </c>
    </row>
    <row r="344" spans="11:11" x14ac:dyDescent="0.25">
      <c r="K344" s="49">
        <f t="shared" ca="1" si="7"/>
        <v>42053</v>
      </c>
    </row>
    <row r="345" spans="11:11" x14ac:dyDescent="0.25">
      <c r="K345" s="49">
        <f t="shared" ca="1" si="7"/>
        <v>42054</v>
      </c>
    </row>
    <row r="346" spans="11:11" x14ac:dyDescent="0.25">
      <c r="K346" s="49">
        <f t="shared" ca="1" si="7"/>
        <v>42055</v>
      </c>
    </row>
    <row r="347" spans="11:11" x14ac:dyDescent="0.25">
      <c r="K347" s="49">
        <f t="shared" ca="1" si="7"/>
        <v>42056</v>
      </c>
    </row>
    <row r="348" spans="11:11" x14ac:dyDescent="0.25">
      <c r="K348" s="49">
        <f t="shared" ca="1" si="7"/>
        <v>42057</v>
      </c>
    </row>
    <row r="349" spans="11:11" x14ac:dyDescent="0.25">
      <c r="K349" s="49">
        <f t="shared" ca="1" si="7"/>
        <v>42058</v>
      </c>
    </row>
    <row r="350" spans="11:11" x14ac:dyDescent="0.25">
      <c r="K350" s="49">
        <f t="shared" ca="1" si="7"/>
        <v>42059</v>
      </c>
    </row>
    <row r="351" spans="11:11" x14ac:dyDescent="0.25">
      <c r="K351" s="49">
        <f t="shared" ca="1" si="7"/>
        <v>42060</v>
      </c>
    </row>
    <row r="352" spans="11:11" x14ac:dyDescent="0.25">
      <c r="K352" s="49">
        <f t="shared" ca="1" si="7"/>
        <v>42061</v>
      </c>
    </row>
    <row r="353" spans="11:11" x14ac:dyDescent="0.25">
      <c r="K353" s="49">
        <f t="shared" ca="1" si="7"/>
        <v>42062</v>
      </c>
    </row>
    <row r="354" spans="11:11" x14ac:dyDescent="0.25">
      <c r="K354" s="49">
        <f t="shared" ca="1" si="7"/>
        <v>42063</v>
      </c>
    </row>
    <row r="355" spans="11:11" x14ac:dyDescent="0.25">
      <c r="K355" s="49">
        <f t="shared" ca="1" si="7"/>
        <v>42064</v>
      </c>
    </row>
    <row r="356" spans="11:11" x14ac:dyDescent="0.25">
      <c r="K356" s="49">
        <f t="shared" ca="1" si="7"/>
        <v>42065</v>
      </c>
    </row>
    <row r="357" spans="11:11" x14ac:dyDescent="0.25">
      <c r="K357" s="49">
        <f t="shared" ca="1" si="7"/>
        <v>42066</v>
      </c>
    </row>
    <row r="358" spans="11:11" x14ac:dyDescent="0.25">
      <c r="K358" s="49">
        <f t="shared" ca="1" si="7"/>
        <v>42067</v>
      </c>
    </row>
    <row r="359" spans="11:11" x14ac:dyDescent="0.25">
      <c r="K359" s="49">
        <f t="shared" ca="1" si="7"/>
        <v>42068</v>
      </c>
    </row>
    <row r="360" spans="11:11" x14ac:dyDescent="0.25">
      <c r="K360" s="49">
        <f t="shared" ca="1" si="7"/>
        <v>42069</v>
      </c>
    </row>
    <row r="361" spans="11:11" x14ac:dyDescent="0.25">
      <c r="K361" s="49">
        <f t="shared" ca="1" si="7"/>
        <v>42070</v>
      </c>
    </row>
    <row r="362" spans="11:11" x14ac:dyDescent="0.25">
      <c r="K362" s="49">
        <f t="shared" ca="1" si="7"/>
        <v>42071</v>
      </c>
    </row>
    <row r="363" spans="11:11" x14ac:dyDescent="0.25">
      <c r="K363" s="49">
        <f t="shared" ca="1" si="7"/>
        <v>42072</v>
      </c>
    </row>
    <row r="364" spans="11:11" x14ac:dyDescent="0.25">
      <c r="K364" s="49">
        <f t="shared" ca="1" si="7"/>
        <v>42073</v>
      </c>
    </row>
    <row r="365" spans="11:11" x14ac:dyDescent="0.25">
      <c r="K365" s="49">
        <f t="shared" ca="1" si="7"/>
        <v>42074</v>
      </c>
    </row>
  </sheetData>
  <sheetProtection sheet="1" objects="1" scenarios="1" selectLockedCells="1"/>
  <mergeCells count="13">
    <mergeCell ref="D3:F3"/>
    <mergeCell ref="B24:C24"/>
    <mergeCell ref="D23:G2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conditionalFormatting sqref="D9:E9">
    <cfRule type="containsErrors" dxfId="5" priority="6">
      <formula>ISERROR(D9)</formula>
    </cfRule>
    <cfRule type="containsErrors" priority="7">
      <formula>ISERROR(D9)</formula>
    </cfRule>
  </conditionalFormatting>
  <conditionalFormatting sqref="D10">
    <cfRule type="containsErrors" dxfId="4" priority="5">
      <formula>ISERROR(D10)</formula>
    </cfRule>
  </conditionalFormatting>
  <conditionalFormatting sqref="F4">
    <cfRule type="containsErrors" dxfId="3" priority="4">
      <formula>ISERROR(F4)</formula>
    </cfRule>
  </conditionalFormatting>
  <conditionalFormatting sqref="F1">
    <cfRule type="containsErrors" dxfId="2" priority="3">
      <formula>ISERROR(F1)</formula>
    </cfRule>
  </conditionalFormatting>
  <conditionalFormatting sqref="E1">
    <cfRule type="containsErrors" dxfId="1" priority="2">
      <formula>ISERROR(E1)</formula>
    </cfRule>
  </conditionalFormatting>
  <conditionalFormatting sqref="E4">
    <cfRule type="containsErrors" dxfId="0" priority="9">
      <formula>ISERROR(E4)</formula>
    </cfRule>
  </conditionalFormatting>
  <dataValidations count="5">
    <dataValidation type="list" allowBlank="1" showInputMessage="1" showErrorMessage="1" sqref="D6">
      <formula1>$J$1:$J$3</formula1>
    </dataValidation>
    <dataValidation type="list" allowBlank="1" showInputMessage="1" showErrorMessage="1" sqref="F6">
      <formula1>$J$2:$J$4</formula1>
    </dataValidation>
    <dataValidation type="list" allowBlank="1" showInputMessage="1" showErrorMessage="1" sqref="A2">
      <formula1>$J$6:$J$8</formula1>
    </dataValidation>
    <dataValidation type="list" allowBlank="1" showInputMessage="1" showErrorMessage="1" sqref="A4">
      <formula1>$A$27:$A$46</formula1>
    </dataValidation>
    <dataValidation type="list" allowBlank="1" showInputMessage="1" showErrorMessage="1" sqref="D5 F5">
      <formula1>$K$1:$K$365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67"/>
  <sheetViews>
    <sheetView showGridLines="0" zoomScaleNormal="100" workbookViewId="0">
      <selection activeCell="A3" sqref="A3"/>
    </sheetView>
  </sheetViews>
  <sheetFormatPr defaultRowHeight="15" x14ac:dyDescent="0.25"/>
  <cols>
    <col min="1" max="1" width="40" customWidth="1"/>
    <col min="2" max="2" width="9.140625" customWidth="1"/>
    <col min="3" max="3" width="13.42578125" customWidth="1"/>
    <col min="4" max="4" width="9.85546875" style="1" customWidth="1"/>
    <col min="6" max="6" width="21.7109375" customWidth="1"/>
    <col min="7" max="7" width="6" customWidth="1"/>
    <col min="8" max="8" width="11.7109375" customWidth="1"/>
    <col min="11" max="11" width="0" hidden="1" customWidth="1"/>
    <col min="12" max="12" width="3" customWidth="1"/>
    <col min="13" max="13" width="9.140625" hidden="1" customWidth="1"/>
    <col min="14" max="14" width="10.7109375" style="32" hidden="1" customWidth="1"/>
    <col min="15" max="15" width="9.140625" hidden="1" customWidth="1"/>
    <col min="16" max="16" width="24.140625" hidden="1" customWidth="1"/>
    <col min="18" max="18" width="0" hidden="1" customWidth="1"/>
  </cols>
  <sheetData>
    <row r="1" spans="1:18" ht="21" x14ac:dyDescent="0.35">
      <c r="A1" s="227" t="s">
        <v>115</v>
      </c>
      <c r="B1" s="227"/>
      <c r="C1" s="227"/>
      <c r="D1" s="227"/>
      <c r="E1" s="227"/>
      <c r="F1" s="227"/>
    </row>
    <row r="2" spans="1:18" x14ac:dyDescent="0.25">
      <c r="A2" t="s">
        <v>24</v>
      </c>
      <c r="M2" s="50"/>
      <c r="N2" s="49">
        <f ca="1">TODAY()</f>
        <v>41710</v>
      </c>
      <c r="O2" s="39">
        <v>2.0833333333333332E-2</v>
      </c>
    </row>
    <row r="3" spans="1:18" x14ac:dyDescent="0.25">
      <c r="A3" s="27"/>
      <c r="M3" s="50"/>
      <c r="N3" s="49">
        <f ca="1">N2+1</f>
        <v>41711</v>
      </c>
      <c r="O3" s="39">
        <v>4.1666666666666664E-2</v>
      </c>
      <c r="P3" t="s">
        <v>54</v>
      </c>
    </row>
    <row r="4" spans="1:18" hidden="1" x14ac:dyDescent="0.25">
      <c r="A4" s="2"/>
      <c r="M4" s="50"/>
      <c r="N4" s="49">
        <f ca="1">N3+1</f>
        <v>41712</v>
      </c>
      <c r="O4" s="39">
        <v>6.25E-2</v>
      </c>
    </row>
    <row r="5" spans="1:18" hidden="1" x14ac:dyDescent="0.25">
      <c r="A5" s="8"/>
      <c r="B5" t="s">
        <v>31</v>
      </c>
      <c r="C5" t="s">
        <v>34</v>
      </c>
      <c r="M5" s="50"/>
      <c r="N5" s="49">
        <f t="shared" ref="N5:N69" ca="1" si="0">N4+1</f>
        <v>41713</v>
      </c>
      <c r="O5" s="39">
        <v>8.3333333333333301E-2</v>
      </c>
    </row>
    <row r="6" spans="1:18" hidden="1" x14ac:dyDescent="0.25">
      <c r="A6" t="s">
        <v>28</v>
      </c>
      <c r="B6" s="1">
        <f>IF(A3=M7,3,12)</f>
        <v>12</v>
      </c>
      <c r="C6" s="1">
        <f>5*B6</f>
        <v>60</v>
      </c>
      <c r="N6" s="49">
        <f t="shared" ca="1" si="0"/>
        <v>41714</v>
      </c>
      <c r="O6" s="39">
        <v>0.104166666666667</v>
      </c>
    </row>
    <row r="7" spans="1:18" ht="15.75" hidden="1" x14ac:dyDescent="0.25">
      <c r="A7" t="s">
        <v>29</v>
      </c>
      <c r="B7" s="1">
        <f>IF(A3=M7,3,12)</f>
        <v>12</v>
      </c>
      <c r="C7" s="1">
        <f>5*B7</f>
        <v>60</v>
      </c>
      <c r="M7" s="51" t="s">
        <v>25</v>
      </c>
      <c r="N7" s="49">
        <f t="shared" ca="1" si="0"/>
        <v>41715</v>
      </c>
      <c r="O7" s="39">
        <v>0.125</v>
      </c>
    </row>
    <row r="8" spans="1:18" ht="15.75" hidden="1" x14ac:dyDescent="0.25">
      <c r="A8" t="s">
        <v>30</v>
      </c>
      <c r="B8" s="1">
        <f>IF(A3=M7,3,12)</f>
        <v>12</v>
      </c>
      <c r="C8" s="1">
        <f>5*B8</f>
        <v>60</v>
      </c>
      <c r="M8" s="51" t="s">
        <v>26</v>
      </c>
      <c r="N8" s="49">
        <f t="shared" ca="1" si="0"/>
        <v>41716</v>
      </c>
      <c r="O8" s="39">
        <v>0.14583333333333301</v>
      </c>
    </row>
    <row r="9" spans="1:18" ht="15.75" hidden="1" x14ac:dyDescent="0.25">
      <c r="E9" s="9"/>
      <c r="F9" s="5">
        <f>IF(D16=0,0,1)</f>
        <v>0</v>
      </c>
      <c r="K9" s="39">
        <v>0.41597222222222219</v>
      </c>
      <c r="M9" s="51" t="s">
        <v>27</v>
      </c>
      <c r="N9" s="49">
        <f t="shared" ca="1" si="0"/>
        <v>41717</v>
      </c>
      <c r="O9" s="39">
        <v>0.16666666666666599</v>
      </c>
    </row>
    <row r="10" spans="1:18" ht="15.75" thickBot="1" x14ac:dyDescent="0.3">
      <c r="C10" s="19">
        <f>IF(E13&gt;7,1,0)</f>
        <v>0</v>
      </c>
      <c r="D10" s="24"/>
      <c r="E10" s="64"/>
      <c r="F10" s="21">
        <f>IF(C14=0,0,1)</f>
        <v>0</v>
      </c>
      <c r="G10" s="21" t="s">
        <v>43</v>
      </c>
      <c r="H10" s="19"/>
      <c r="K10" s="63">
        <f>IF(E12&gt;K9,0,1)</f>
        <v>1</v>
      </c>
      <c r="N10" s="49">
        <f t="shared" ca="1" si="0"/>
        <v>41718</v>
      </c>
      <c r="O10" s="39">
        <v>0.1875</v>
      </c>
      <c r="P10" t="s">
        <v>53</v>
      </c>
      <c r="R10" s="39">
        <v>0.25</v>
      </c>
    </row>
    <row r="11" spans="1:18" ht="15.75" thickBot="1" x14ac:dyDescent="0.3">
      <c r="B11" s="188"/>
      <c r="C11" s="190" t="s">
        <v>48</v>
      </c>
      <c r="D11" s="189"/>
      <c r="E11" s="190" t="s">
        <v>157</v>
      </c>
      <c r="F11" s="191" t="s">
        <v>156</v>
      </c>
      <c r="G11" s="21"/>
      <c r="H11" s="19"/>
      <c r="K11" s="63"/>
      <c r="N11" s="49"/>
      <c r="O11" s="39"/>
      <c r="R11" s="39"/>
    </row>
    <row r="12" spans="1:18" ht="15.75" x14ac:dyDescent="0.25">
      <c r="A12" s="68"/>
      <c r="B12" s="10" t="s">
        <v>37</v>
      </c>
      <c r="C12" s="41"/>
      <c r="D12" s="11" t="s">
        <v>35</v>
      </c>
      <c r="E12" s="62"/>
      <c r="F12" s="66"/>
      <c r="G12" s="14"/>
      <c r="H12" s="14"/>
      <c r="K12" s="39">
        <v>0.29097222222222224</v>
      </c>
      <c r="N12" s="49">
        <f ca="1">N10+1</f>
        <v>41719</v>
      </c>
      <c r="O12" s="39">
        <v>0.20833333333333301</v>
      </c>
      <c r="P12" t="str">
        <f>IF(C12=C13,P10,P3)</f>
        <v>publieksactiviteit</v>
      </c>
      <c r="R12" s="39">
        <v>0.27083333333333331</v>
      </c>
    </row>
    <row r="13" spans="1:18" ht="15.75" x14ac:dyDescent="0.25">
      <c r="A13" s="68"/>
      <c r="B13" s="13" t="s">
        <v>38</v>
      </c>
      <c r="C13" s="29"/>
      <c r="D13" s="14" t="s">
        <v>36</v>
      </c>
      <c r="E13" s="28"/>
      <c r="F13" s="67"/>
      <c r="G13" s="14"/>
      <c r="H13" s="14"/>
      <c r="K13">
        <f>IF(E13&gt;K12,1,0)</f>
        <v>0</v>
      </c>
      <c r="N13" s="49">
        <f t="shared" ca="1" si="0"/>
        <v>41720</v>
      </c>
      <c r="O13" s="39">
        <v>0.22916666666666599</v>
      </c>
      <c r="P13">
        <f>IF(F12=P10,1,0)</f>
        <v>0</v>
      </c>
      <c r="R13" s="39">
        <v>0.29166666666666669</v>
      </c>
    </row>
    <row r="14" spans="1:18" ht="15.75" x14ac:dyDescent="0.25">
      <c r="A14" s="68"/>
      <c r="B14" s="96" t="str">
        <f>IF(C14=1,B19,C19)</f>
        <v>dagen</v>
      </c>
      <c r="C14" s="24">
        <f>C13-C12</f>
        <v>0</v>
      </c>
      <c r="D14" s="21" t="s">
        <v>10</v>
      </c>
      <c r="E14" s="97">
        <f>ROUNDUP((E13-E12)*24/1,0)</f>
        <v>0</v>
      </c>
      <c r="F14" s="15"/>
      <c r="G14" s="14"/>
      <c r="H14" s="14"/>
      <c r="K14">
        <f>IF(C14=0,0,1)</f>
        <v>0</v>
      </c>
      <c r="N14" s="49">
        <f t="shared" ca="1" si="0"/>
        <v>41721</v>
      </c>
      <c r="O14" s="39">
        <v>0.25</v>
      </c>
      <c r="P14">
        <f>IF(F13=P10,1,0)</f>
        <v>0</v>
      </c>
      <c r="R14" s="39">
        <v>0.3125</v>
      </c>
    </row>
    <row r="15" spans="1:18" x14ac:dyDescent="0.25">
      <c r="A15" s="32"/>
      <c r="B15" s="98"/>
      <c r="C15" s="99">
        <f>C14*24</f>
        <v>0</v>
      </c>
      <c r="D15" s="100"/>
      <c r="E15" s="19"/>
      <c r="F15" s="15"/>
      <c r="G15" s="16"/>
      <c r="H15" s="16"/>
      <c r="K15">
        <f>K14*K13</f>
        <v>0</v>
      </c>
      <c r="N15" s="49">
        <f t="shared" ca="1" si="0"/>
        <v>41722</v>
      </c>
      <c r="O15" s="39">
        <v>0.27083333333333298</v>
      </c>
      <c r="R15" s="39">
        <v>0.33333333333333298</v>
      </c>
    </row>
    <row r="16" spans="1:18" x14ac:dyDescent="0.25">
      <c r="A16" s="32"/>
      <c r="B16" s="13"/>
      <c r="C16" s="14" t="s">
        <v>39</v>
      </c>
      <c r="D16" s="25">
        <f>ROUNDUP((C15+E14)/1,0)</f>
        <v>0</v>
      </c>
      <c r="E16" s="61" t="s">
        <v>42</v>
      </c>
      <c r="F16" s="20">
        <f>IF(D16&gt;5,D16,5)</f>
        <v>5</v>
      </c>
      <c r="G16" s="14"/>
      <c r="H16" s="14"/>
      <c r="N16" s="49">
        <f t="shared" ca="1" si="0"/>
        <v>41723</v>
      </c>
      <c r="O16" s="39">
        <v>0.29166666666666602</v>
      </c>
      <c r="R16" s="39">
        <v>0.35416666666666702</v>
      </c>
    </row>
    <row r="17" spans="1:18" x14ac:dyDescent="0.25">
      <c r="A17" s="32"/>
      <c r="B17" s="13"/>
      <c r="C17" s="3" t="s">
        <v>52</v>
      </c>
      <c r="D17" s="65">
        <f>B6</f>
        <v>12</v>
      </c>
      <c r="E17" s="34">
        <f>K10*C6*P13</f>
        <v>0</v>
      </c>
      <c r="F17" s="33" t="s">
        <v>41</v>
      </c>
      <c r="N17" s="49">
        <f t="shared" ca="1" si="0"/>
        <v>41724</v>
      </c>
      <c r="O17" s="39">
        <v>0.3125</v>
      </c>
      <c r="R17" s="39">
        <v>0.375</v>
      </c>
    </row>
    <row r="18" spans="1:18" ht="20.25" customHeight="1" thickBot="1" x14ac:dyDescent="0.3">
      <c r="B18" s="17"/>
      <c r="C18" s="18" t="s">
        <v>49</v>
      </c>
      <c r="D18" s="26">
        <f>D17*F16</f>
        <v>60</v>
      </c>
      <c r="E18" s="35">
        <f>C6*K15*P14</f>
        <v>0</v>
      </c>
      <c r="F18" s="36" t="s">
        <v>40</v>
      </c>
      <c r="N18" s="49">
        <f t="shared" ca="1" si="0"/>
        <v>41725</v>
      </c>
      <c r="O18" s="39">
        <v>0.33333333333333298</v>
      </c>
      <c r="R18" s="39">
        <v>0.39583333333333298</v>
      </c>
    </row>
    <row r="19" spans="1:18" ht="15.75" thickBot="1" x14ac:dyDescent="0.3">
      <c r="B19" s="5" t="s">
        <v>48</v>
      </c>
      <c r="C19" s="5" t="s">
        <v>44</v>
      </c>
      <c r="D19" s="25" t="s">
        <v>18</v>
      </c>
      <c r="E19" s="37">
        <f>(D17*F16+laat+vroeg)*F9</f>
        <v>0</v>
      </c>
      <c r="F19" s="38" t="s">
        <v>45</v>
      </c>
      <c r="N19" s="49">
        <f t="shared" ca="1" si="0"/>
        <v>41726</v>
      </c>
      <c r="O19" s="39">
        <v>0.35416666666666602</v>
      </c>
      <c r="R19" s="39">
        <v>0.41666666666666702</v>
      </c>
    </row>
    <row r="20" spans="1:18" x14ac:dyDescent="0.25">
      <c r="A20" s="7"/>
      <c r="N20" s="49">
        <f t="shared" ca="1" si="0"/>
        <v>41727</v>
      </c>
      <c r="O20" s="39">
        <v>0.375</v>
      </c>
      <c r="R20" s="39">
        <v>0.4375</v>
      </c>
    </row>
    <row r="21" spans="1:18" x14ac:dyDescent="0.25">
      <c r="A21" s="102" t="s">
        <v>99</v>
      </c>
      <c r="N21" s="49">
        <f t="shared" ca="1" si="0"/>
        <v>41728</v>
      </c>
      <c r="O21" s="39">
        <v>0.39583333333333298</v>
      </c>
      <c r="R21" s="39">
        <v>0.45833333333333298</v>
      </c>
    </row>
    <row r="22" spans="1:18" ht="17.25" customHeight="1" x14ac:dyDescent="0.25">
      <c r="A22" s="101" t="s">
        <v>73</v>
      </c>
      <c r="B22" s="222" t="s">
        <v>72</v>
      </c>
      <c r="C22" s="222"/>
      <c r="N22" s="49">
        <f t="shared" ca="1" si="0"/>
        <v>41729</v>
      </c>
      <c r="O22" s="39">
        <v>0.41666666666666602</v>
      </c>
      <c r="R22" s="39">
        <v>0.47916666666666602</v>
      </c>
    </row>
    <row r="23" spans="1:18" ht="17.25" customHeight="1" x14ac:dyDescent="0.25">
      <c r="A23" s="101" t="s">
        <v>74</v>
      </c>
      <c r="B23" s="222" t="s">
        <v>75</v>
      </c>
      <c r="C23" s="222"/>
      <c r="N23" s="49">
        <f t="shared" ca="1" si="0"/>
        <v>41730</v>
      </c>
      <c r="O23" s="39">
        <v>0.4375</v>
      </c>
      <c r="R23" s="39">
        <v>0.5</v>
      </c>
    </row>
    <row r="24" spans="1:18" ht="17.25" customHeight="1" x14ac:dyDescent="0.25">
      <c r="A24" s="101" t="s">
        <v>83</v>
      </c>
      <c r="B24" s="222" t="s">
        <v>84</v>
      </c>
      <c r="C24" s="222"/>
      <c r="N24" s="49">
        <f t="shared" ca="1" si="0"/>
        <v>41731</v>
      </c>
      <c r="O24" s="39">
        <v>0.45833333333333298</v>
      </c>
      <c r="R24" s="39">
        <v>0.52083333333333304</v>
      </c>
    </row>
    <row r="25" spans="1:18" ht="17.25" customHeight="1" x14ac:dyDescent="0.25">
      <c r="A25" s="101" t="s">
        <v>85</v>
      </c>
      <c r="B25" s="222" t="s">
        <v>86</v>
      </c>
      <c r="C25" s="222"/>
      <c r="N25" s="49">
        <f t="shared" ca="1" si="0"/>
        <v>41732</v>
      </c>
      <c r="O25" s="39">
        <v>0.47916666666666602</v>
      </c>
      <c r="R25" s="39">
        <v>0.54166666666666596</v>
      </c>
    </row>
    <row r="26" spans="1:18" ht="17.25" customHeight="1" x14ac:dyDescent="0.25">
      <c r="A26" s="101" t="s">
        <v>87</v>
      </c>
      <c r="B26" s="222" t="s">
        <v>88</v>
      </c>
      <c r="C26" s="222"/>
      <c r="N26" s="49">
        <f t="shared" ca="1" si="0"/>
        <v>41733</v>
      </c>
      <c r="O26" s="39">
        <v>0.5</v>
      </c>
      <c r="R26" s="39">
        <v>0.5625</v>
      </c>
    </row>
    <row r="27" spans="1:18" ht="17.25" customHeight="1" x14ac:dyDescent="0.25">
      <c r="A27" s="101" t="s">
        <v>89</v>
      </c>
      <c r="B27" s="222" t="s">
        <v>72</v>
      </c>
      <c r="C27" s="222"/>
      <c r="N27" s="49">
        <f t="shared" ca="1" si="0"/>
        <v>41734</v>
      </c>
      <c r="O27" s="39">
        <v>0.52083333333333304</v>
      </c>
      <c r="R27" s="39">
        <v>0.58333333333333304</v>
      </c>
    </row>
    <row r="28" spans="1:18" ht="17.25" customHeight="1" x14ac:dyDescent="0.25">
      <c r="A28" s="101" t="s">
        <v>90</v>
      </c>
      <c r="B28" s="222" t="s">
        <v>91</v>
      </c>
      <c r="C28" s="222"/>
      <c r="N28" s="49">
        <f t="shared" ca="1" si="0"/>
        <v>41735</v>
      </c>
      <c r="O28" s="39">
        <v>0.54166666666666596</v>
      </c>
      <c r="R28" s="39">
        <v>0.60416666666666596</v>
      </c>
    </row>
    <row r="29" spans="1:18" ht="30.75" customHeight="1" x14ac:dyDescent="0.25">
      <c r="A29" s="101" t="s">
        <v>100</v>
      </c>
      <c r="B29" s="222" t="s">
        <v>86</v>
      </c>
      <c r="C29" s="222"/>
      <c r="N29" s="49">
        <f t="shared" ca="1" si="0"/>
        <v>41736</v>
      </c>
      <c r="O29" s="39">
        <v>0.5625</v>
      </c>
      <c r="R29" s="39">
        <v>0.625</v>
      </c>
    </row>
    <row r="30" spans="1:18" ht="30.75" customHeight="1" x14ac:dyDescent="0.25">
      <c r="A30" s="101" t="s">
        <v>93</v>
      </c>
      <c r="B30" s="222" t="s">
        <v>94</v>
      </c>
      <c r="C30" s="222"/>
      <c r="N30" s="49">
        <f t="shared" ca="1" si="0"/>
        <v>41737</v>
      </c>
      <c r="O30" s="39">
        <v>0.58333333333333304</v>
      </c>
      <c r="R30" s="39">
        <v>0.64583333333333304</v>
      </c>
    </row>
    <row r="31" spans="1:18" ht="30.75" customHeight="1" x14ac:dyDescent="0.25">
      <c r="A31" s="101" t="s">
        <v>95</v>
      </c>
      <c r="B31" s="222" t="s">
        <v>97</v>
      </c>
      <c r="C31" s="226"/>
      <c r="D31" s="223" t="s">
        <v>98</v>
      </c>
      <c r="E31" s="224"/>
      <c r="F31" s="225"/>
      <c r="N31" s="49">
        <f t="shared" ca="1" si="0"/>
        <v>41738</v>
      </c>
      <c r="O31" s="39">
        <v>0.60416666666666596</v>
      </c>
      <c r="R31" s="39">
        <v>0.66666666666666596</v>
      </c>
    </row>
    <row r="32" spans="1:18" ht="17.25" customHeight="1" x14ac:dyDescent="0.25">
      <c r="A32" s="101" t="s">
        <v>96</v>
      </c>
      <c r="B32" s="222" t="s">
        <v>86</v>
      </c>
      <c r="C32" s="222"/>
      <c r="N32" s="49">
        <f t="shared" ca="1" si="0"/>
        <v>41739</v>
      </c>
      <c r="O32" s="39">
        <v>0.625</v>
      </c>
      <c r="R32" s="39">
        <v>0.6875</v>
      </c>
    </row>
    <row r="33" spans="14:18" x14ac:dyDescent="0.25">
      <c r="N33" s="49">
        <f t="shared" ca="1" si="0"/>
        <v>41740</v>
      </c>
      <c r="O33" s="39">
        <v>0.64583333333333304</v>
      </c>
      <c r="R33" s="39">
        <v>0.70833333333333304</v>
      </c>
    </row>
    <row r="34" spans="14:18" x14ac:dyDescent="0.25">
      <c r="N34" s="49">
        <f t="shared" ca="1" si="0"/>
        <v>41741</v>
      </c>
      <c r="O34" s="39">
        <v>0.66666666666666596</v>
      </c>
      <c r="R34" s="39">
        <v>0.72916666666666596</v>
      </c>
    </row>
    <row r="35" spans="14:18" x14ac:dyDescent="0.25">
      <c r="N35" s="49">
        <f t="shared" ca="1" si="0"/>
        <v>41742</v>
      </c>
      <c r="O35" s="39">
        <v>0.6875</v>
      </c>
      <c r="R35" s="39">
        <v>0.75</v>
      </c>
    </row>
    <row r="36" spans="14:18" x14ac:dyDescent="0.25">
      <c r="N36" s="49">
        <f t="shared" ca="1" si="0"/>
        <v>41743</v>
      </c>
      <c r="O36" s="39">
        <v>0.70833333333333304</v>
      </c>
      <c r="R36" s="39">
        <v>0.77083333333333304</v>
      </c>
    </row>
    <row r="37" spans="14:18" x14ac:dyDescent="0.25">
      <c r="N37" s="49">
        <f t="shared" ca="1" si="0"/>
        <v>41744</v>
      </c>
      <c r="O37" s="39">
        <v>0.72916666666666596</v>
      </c>
      <c r="R37" s="39">
        <v>0.79166666666666596</v>
      </c>
    </row>
    <row r="38" spans="14:18" x14ac:dyDescent="0.25">
      <c r="N38" s="49">
        <f t="shared" ca="1" si="0"/>
        <v>41745</v>
      </c>
      <c r="O38" s="39">
        <v>0.75</v>
      </c>
      <c r="R38" s="39">
        <v>0.8125</v>
      </c>
    </row>
    <row r="39" spans="14:18" x14ac:dyDescent="0.25">
      <c r="N39" s="49">
        <f t="shared" ca="1" si="0"/>
        <v>41746</v>
      </c>
      <c r="O39" s="39">
        <v>0.77083333333333304</v>
      </c>
      <c r="R39" s="39">
        <v>0.83333333333333304</v>
      </c>
    </row>
    <row r="40" spans="14:18" x14ac:dyDescent="0.25">
      <c r="N40" s="49">
        <f t="shared" ca="1" si="0"/>
        <v>41747</v>
      </c>
      <c r="O40" s="39">
        <v>0.79166666666666596</v>
      </c>
      <c r="R40" s="39">
        <v>0.85416666666666596</v>
      </c>
    </row>
    <row r="41" spans="14:18" x14ac:dyDescent="0.25">
      <c r="N41" s="49">
        <f t="shared" ca="1" si="0"/>
        <v>41748</v>
      </c>
      <c r="O41" s="39">
        <v>0.8125</v>
      </c>
      <c r="R41" s="39">
        <v>0.874999999999999</v>
      </c>
    </row>
    <row r="42" spans="14:18" x14ac:dyDescent="0.25">
      <c r="N42" s="49">
        <f t="shared" ca="1" si="0"/>
        <v>41749</v>
      </c>
      <c r="O42" s="39">
        <v>0.83333333333333304</v>
      </c>
      <c r="R42" s="39">
        <v>0.89583333333333304</v>
      </c>
    </row>
    <row r="43" spans="14:18" x14ac:dyDescent="0.25">
      <c r="N43" s="49">
        <f t="shared" ca="1" si="0"/>
        <v>41750</v>
      </c>
      <c r="O43" s="39">
        <v>0.85416666666666596</v>
      </c>
      <c r="R43" s="39">
        <v>0.91666666666666596</v>
      </c>
    </row>
    <row r="44" spans="14:18" x14ac:dyDescent="0.25">
      <c r="N44" s="49">
        <f t="shared" ca="1" si="0"/>
        <v>41751</v>
      </c>
      <c r="O44" s="39">
        <v>0.875</v>
      </c>
      <c r="R44" s="39">
        <v>0.937499999999999</v>
      </c>
    </row>
    <row r="45" spans="14:18" x14ac:dyDescent="0.25">
      <c r="N45" s="49">
        <f t="shared" ca="1" si="0"/>
        <v>41752</v>
      </c>
      <c r="O45" s="39">
        <v>0.89583333333333304</v>
      </c>
      <c r="R45" s="39">
        <v>0.95833333333333304</v>
      </c>
    </row>
    <row r="46" spans="14:18" x14ac:dyDescent="0.25">
      <c r="N46" s="49">
        <f t="shared" ca="1" si="0"/>
        <v>41753</v>
      </c>
      <c r="O46" s="39">
        <v>0.91666666666666596</v>
      </c>
      <c r="R46" s="39">
        <v>0.97916666666666596</v>
      </c>
    </row>
    <row r="47" spans="14:18" x14ac:dyDescent="0.25">
      <c r="N47" s="49">
        <f t="shared" ca="1" si="0"/>
        <v>41754</v>
      </c>
      <c r="O47" s="39">
        <v>0.9375</v>
      </c>
      <c r="R47" s="39">
        <v>0.999999999999999</v>
      </c>
    </row>
    <row r="48" spans="14:18" x14ac:dyDescent="0.25">
      <c r="N48" s="49">
        <f t="shared" ca="1" si="0"/>
        <v>41755</v>
      </c>
      <c r="O48" s="39">
        <v>0.95833333333333304</v>
      </c>
      <c r="R48" s="39">
        <v>1.0208333333333299</v>
      </c>
    </row>
    <row r="49" spans="14:18" x14ac:dyDescent="0.25">
      <c r="N49" s="49">
        <f t="shared" ca="1" si="0"/>
        <v>41756</v>
      </c>
      <c r="O49" s="39">
        <v>0.97916666666666596</v>
      </c>
      <c r="R49" s="39">
        <v>1.0416666666666701</v>
      </c>
    </row>
    <row r="50" spans="14:18" x14ac:dyDescent="0.25">
      <c r="N50" s="49">
        <f t="shared" ca="1" si="0"/>
        <v>41757</v>
      </c>
      <c r="O50" s="39">
        <v>1</v>
      </c>
      <c r="R50" s="39">
        <v>1.0625</v>
      </c>
    </row>
    <row r="51" spans="14:18" x14ac:dyDescent="0.25">
      <c r="N51" s="49">
        <f t="shared" ca="1" si="0"/>
        <v>41758</v>
      </c>
      <c r="R51" s="39">
        <v>1.0833333333333299</v>
      </c>
    </row>
    <row r="52" spans="14:18" x14ac:dyDescent="0.25">
      <c r="N52" s="49">
        <f t="shared" ca="1" si="0"/>
        <v>41759</v>
      </c>
      <c r="R52" s="39">
        <v>1.1041666666666901</v>
      </c>
    </row>
    <row r="53" spans="14:18" x14ac:dyDescent="0.25">
      <c r="N53" s="49">
        <f t="shared" ca="1" si="0"/>
        <v>41760</v>
      </c>
      <c r="R53" s="39">
        <v>1.12500000000003</v>
      </c>
    </row>
    <row r="54" spans="14:18" x14ac:dyDescent="0.25">
      <c r="N54" s="49">
        <f t="shared" ca="1" si="0"/>
        <v>41761</v>
      </c>
      <c r="R54" s="39">
        <v>1.1458333333333699</v>
      </c>
    </row>
    <row r="55" spans="14:18" x14ac:dyDescent="0.25">
      <c r="N55" s="49">
        <f t="shared" ca="1" si="0"/>
        <v>41762</v>
      </c>
      <c r="R55" s="39">
        <v>1.16666666666671</v>
      </c>
    </row>
    <row r="56" spans="14:18" x14ac:dyDescent="0.25">
      <c r="N56" s="49">
        <f t="shared" ca="1" si="0"/>
        <v>41763</v>
      </c>
      <c r="R56" s="39">
        <v>1.18750000000005</v>
      </c>
    </row>
    <row r="57" spans="14:18" x14ac:dyDescent="0.25">
      <c r="N57" s="49">
        <f t="shared" ca="1" si="0"/>
        <v>41764</v>
      </c>
      <c r="R57" s="39">
        <v>1.2083333333333901</v>
      </c>
    </row>
    <row r="58" spans="14:18" x14ac:dyDescent="0.25">
      <c r="N58" s="49">
        <f t="shared" ca="1" si="0"/>
        <v>41765</v>
      </c>
      <c r="R58" s="39">
        <v>1.22916666666673</v>
      </c>
    </row>
    <row r="59" spans="14:18" x14ac:dyDescent="0.25">
      <c r="N59" s="49">
        <f t="shared" ca="1" si="0"/>
        <v>41766</v>
      </c>
      <c r="R59" s="39">
        <v>1.2500000000000699</v>
      </c>
    </row>
    <row r="60" spans="14:18" x14ac:dyDescent="0.25">
      <c r="N60" s="49">
        <f t="shared" ca="1" si="0"/>
        <v>41767</v>
      </c>
    </row>
    <row r="61" spans="14:18" x14ac:dyDescent="0.25">
      <c r="N61" s="49">
        <f t="shared" ca="1" si="0"/>
        <v>41768</v>
      </c>
    </row>
    <row r="62" spans="14:18" x14ac:dyDescent="0.25">
      <c r="N62" s="49">
        <f t="shared" ca="1" si="0"/>
        <v>41769</v>
      </c>
    </row>
    <row r="63" spans="14:18" x14ac:dyDescent="0.25">
      <c r="N63" s="49">
        <f t="shared" ca="1" si="0"/>
        <v>41770</v>
      </c>
    </row>
    <row r="64" spans="14:18" x14ac:dyDescent="0.25">
      <c r="N64" s="49">
        <f t="shared" ca="1" si="0"/>
        <v>41771</v>
      </c>
    </row>
    <row r="65" spans="14:14" x14ac:dyDescent="0.25">
      <c r="N65" s="49">
        <f t="shared" ca="1" si="0"/>
        <v>41772</v>
      </c>
    </row>
    <row r="66" spans="14:14" x14ac:dyDescent="0.25">
      <c r="N66" s="49">
        <f t="shared" ca="1" si="0"/>
        <v>41773</v>
      </c>
    </row>
    <row r="67" spans="14:14" x14ac:dyDescent="0.25">
      <c r="N67" s="49">
        <f t="shared" ca="1" si="0"/>
        <v>41774</v>
      </c>
    </row>
    <row r="68" spans="14:14" x14ac:dyDescent="0.25">
      <c r="N68" s="49">
        <f t="shared" ca="1" si="0"/>
        <v>41775</v>
      </c>
    </row>
    <row r="69" spans="14:14" x14ac:dyDescent="0.25">
      <c r="N69" s="49">
        <f t="shared" ca="1" si="0"/>
        <v>41776</v>
      </c>
    </row>
    <row r="70" spans="14:14" x14ac:dyDescent="0.25">
      <c r="N70" s="49">
        <f t="shared" ref="N70:N133" ca="1" si="1">N69+1</f>
        <v>41777</v>
      </c>
    </row>
    <row r="71" spans="14:14" x14ac:dyDescent="0.25">
      <c r="N71" s="49">
        <f t="shared" ca="1" si="1"/>
        <v>41778</v>
      </c>
    </row>
    <row r="72" spans="14:14" x14ac:dyDescent="0.25">
      <c r="N72" s="49">
        <f t="shared" ca="1" si="1"/>
        <v>41779</v>
      </c>
    </row>
    <row r="73" spans="14:14" x14ac:dyDescent="0.25">
      <c r="N73" s="49">
        <f t="shared" ca="1" si="1"/>
        <v>41780</v>
      </c>
    </row>
    <row r="74" spans="14:14" x14ac:dyDescent="0.25">
      <c r="N74" s="49">
        <f t="shared" ca="1" si="1"/>
        <v>41781</v>
      </c>
    </row>
    <row r="75" spans="14:14" x14ac:dyDescent="0.25">
      <c r="N75" s="49">
        <f t="shared" ca="1" si="1"/>
        <v>41782</v>
      </c>
    </row>
    <row r="76" spans="14:14" x14ac:dyDescent="0.25">
      <c r="N76" s="49">
        <f t="shared" ca="1" si="1"/>
        <v>41783</v>
      </c>
    </row>
    <row r="77" spans="14:14" x14ac:dyDescent="0.25">
      <c r="N77" s="49">
        <f t="shared" ca="1" si="1"/>
        <v>41784</v>
      </c>
    </row>
    <row r="78" spans="14:14" x14ac:dyDescent="0.25">
      <c r="N78" s="49">
        <f t="shared" ca="1" si="1"/>
        <v>41785</v>
      </c>
    </row>
    <row r="79" spans="14:14" x14ac:dyDescent="0.25">
      <c r="N79" s="49">
        <f t="shared" ca="1" si="1"/>
        <v>41786</v>
      </c>
    </row>
    <row r="80" spans="14:14" x14ac:dyDescent="0.25">
      <c r="N80" s="49">
        <f t="shared" ca="1" si="1"/>
        <v>41787</v>
      </c>
    </row>
    <row r="81" spans="14:14" x14ac:dyDescent="0.25">
      <c r="N81" s="49">
        <f t="shared" ca="1" si="1"/>
        <v>41788</v>
      </c>
    </row>
    <row r="82" spans="14:14" x14ac:dyDescent="0.25">
      <c r="N82" s="49">
        <f t="shared" ca="1" si="1"/>
        <v>41789</v>
      </c>
    </row>
    <row r="83" spans="14:14" x14ac:dyDescent="0.25">
      <c r="N83" s="49">
        <f t="shared" ca="1" si="1"/>
        <v>41790</v>
      </c>
    </row>
    <row r="84" spans="14:14" x14ac:dyDescent="0.25">
      <c r="N84" s="49">
        <f t="shared" ca="1" si="1"/>
        <v>41791</v>
      </c>
    </row>
    <row r="85" spans="14:14" x14ac:dyDescent="0.25">
      <c r="N85" s="49">
        <f t="shared" ca="1" si="1"/>
        <v>41792</v>
      </c>
    </row>
    <row r="86" spans="14:14" x14ac:dyDescent="0.25">
      <c r="N86" s="49">
        <f t="shared" ca="1" si="1"/>
        <v>41793</v>
      </c>
    </row>
    <row r="87" spans="14:14" x14ac:dyDescent="0.25">
      <c r="N87" s="49">
        <f t="shared" ca="1" si="1"/>
        <v>41794</v>
      </c>
    </row>
    <row r="88" spans="14:14" x14ac:dyDescent="0.25">
      <c r="N88" s="49">
        <f t="shared" ca="1" si="1"/>
        <v>41795</v>
      </c>
    </row>
    <row r="89" spans="14:14" x14ac:dyDescent="0.25">
      <c r="N89" s="49">
        <f t="shared" ca="1" si="1"/>
        <v>41796</v>
      </c>
    </row>
    <row r="90" spans="14:14" x14ac:dyDescent="0.25">
      <c r="N90" s="49">
        <f t="shared" ca="1" si="1"/>
        <v>41797</v>
      </c>
    </row>
    <row r="91" spans="14:14" x14ac:dyDescent="0.25">
      <c r="N91" s="49">
        <f t="shared" ca="1" si="1"/>
        <v>41798</v>
      </c>
    </row>
    <row r="92" spans="14:14" x14ac:dyDescent="0.25">
      <c r="N92" s="49">
        <f t="shared" ca="1" si="1"/>
        <v>41799</v>
      </c>
    </row>
    <row r="93" spans="14:14" x14ac:dyDescent="0.25">
      <c r="N93" s="49">
        <f t="shared" ca="1" si="1"/>
        <v>41800</v>
      </c>
    </row>
    <row r="94" spans="14:14" x14ac:dyDescent="0.25">
      <c r="N94" s="49">
        <f t="shared" ca="1" si="1"/>
        <v>41801</v>
      </c>
    </row>
    <row r="95" spans="14:14" x14ac:dyDescent="0.25">
      <c r="N95" s="49">
        <f t="shared" ca="1" si="1"/>
        <v>41802</v>
      </c>
    </row>
    <row r="96" spans="14:14" x14ac:dyDescent="0.25">
      <c r="N96" s="49">
        <f t="shared" ca="1" si="1"/>
        <v>41803</v>
      </c>
    </row>
    <row r="97" spans="14:14" x14ac:dyDescent="0.25">
      <c r="N97" s="49">
        <f t="shared" ca="1" si="1"/>
        <v>41804</v>
      </c>
    </row>
    <row r="98" spans="14:14" x14ac:dyDescent="0.25">
      <c r="N98" s="49">
        <f t="shared" ca="1" si="1"/>
        <v>41805</v>
      </c>
    </row>
    <row r="99" spans="14:14" x14ac:dyDescent="0.25">
      <c r="N99" s="49">
        <f t="shared" ca="1" si="1"/>
        <v>41806</v>
      </c>
    </row>
    <row r="100" spans="14:14" x14ac:dyDescent="0.25">
      <c r="N100" s="49">
        <f t="shared" ca="1" si="1"/>
        <v>41807</v>
      </c>
    </row>
    <row r="101" spans="14:14" x14ac:dyDescent="0.25">
      <c r="N101" s="49">
        <f t="shared" ca="1" si="1"/>
        <v>41808</v>
      </c>
    </row>
    <row r="102" spans="14:14" x14ac:dyDescent="0.25">
      <c r="N102" s="49">
        <f t="shared" ca="1" si="1"/>
        <v>41809</v>
      </c>
    </row>
    <row r="103" spans="14:14" x14ac:dyDescent="0.25">
      <c r="N103" s="49">
        <f t="shared" ca="1" si="1"/>
        <v>41810</v>
      </c>
    </row>
    <row r="104" spans="14:14" x14ac:dyDescent="0.25">
      <c r="N104" s="49">
        <f t="shared" ca="1" si="1"/>
        <v>41811</v>
      </c>
    </row>
    <row r="105" spans="14:14" x14ac:dyDescent="0.25">
      <c r="N105" s="49">
        <f t="shared" ca="1" si="1"/>
        <v>41812</v>
      </c>
    </row>
    <row r="106" spans="14:14" x14ac:dyDescent="0.25">
      <c r="N106" s="49">
        <f t="shared" ca="1" si="1"/>
        <v>41813</v>
      </c>
    </row>
    <row r="107" spans="14:14" x14ac:dyDescent="0.25">
      <c r="N107" s="49">
        <f t="shared" ca="1" si="1"/>
        <v>41814</v>
      </c>
    </row>
    <row r="108" spans="14:14" x14ac:dyDescent="0.25">
      <c r="N108" s="49">
        <f t="shared" ca="1" si="1"/>
        <v>41815</v>
      </c>
    </row>
    <row r="109" spans="14:14" x14ac:dyDescent="0.25">
      <c r="N109" s="49">
        <f t="shared" ca="1" si="1"/>
        <v>41816</v>
      </c>
    </row>
    <row r="110" spans="14:14" x14ac:dyDescent="0.25">
      <c r="N110" s="49">
        <f t="shared" ca="1" si="1"/>
        <v>41817</v>
      </c>
    </row>
    <row r="111" spans="14:14" x14ac:dyDescent="0.25">
      <c r="N111" s="49">
        <f t="shared" ca="1" si="1"/>
        <v>41818</v>
      </c>
    </row>
    <row r="112" spans="14:14" x14ac:dyDescent="0.25">
      <c r="N112" s="49">
        <f t="shared" ca="1" si="1"/>
        <v>41819</v>
      </c>
    </row>
    <row r="113" spans="14:14" x14ac:dyDescent="0.25">
      <c r="N113" s="49">
        <f t="shared" ca="1" si="1"/>
        <v>41820</v>
      </c>
    </row>
    <row r="114" spans="14:14" x14ac:dyDescent="0.25">
      <c r="N114" s="49">
        <f t="shared" ca="1" si="1"/>
        <v>41821</v>
      </c>
    </row>
    <row r="115" spans="14:14" x14ac:dyDescent="0.25">
      <c r="N115" s="49">
        <f t="shared" ca="1" si="1"/>
        <v>41822</v>
      </c>
    </row>
    <row r="116" spans="14:14" x14ac:dyDescent="0.25">
      <c r="N116" s="49">
        <f t="shared" ca="1" si="1"/>
        <v>41823</v>
      </c>
    </row>
    <row r="117" spans="14:14" x14ac:dyDescent="0.25">
      <c r="N117" s="49">
        <f t="shared" ca="1" si="1"/>
        <v>41824</v>
      </c>
    </row>
    <row r="118" spans="14:14" x14ac:dyDescent="0.25">
      <c r="N118" s="49">
        <f t="shared" ca="1" si="1"/>
        <v>41825</v>
      </c>
    </row>
    <row r="119" spans="14:14" x14ac:dyDescent="0.25">
      <c r="N119" s="49">
        <f t="shared" ca="1" si="1"/>
        <v>41826</v>
      </c>
    </row>
    <row r="120" spans="14:14" x14ac:dyDescent="0.25">
      <c r="N120" s="49">
        <f t="shared" ca="1" si="1"/>
        <v>41827</v>
      </c>
    </row>
    <row r="121" spans="14:14" x14ac:dyDescent="0.25">
      <c r="N121" s="49">
        <f t="shared" ca="1" si="1"/>
        <v>41828</v>
      </c>
    </row>
    <row r="122" spans="14:14" x14ac:dyDescent="0.25">
      <c r="N122" s="49">
        <f t="shared" ca="1" si="1"/>
        <v>41829</v>
      </c>
    </row>
    <row r="123" spans="14:14" x14ac:dyDescent="0.25">
      <c r="N123" s="49">
        <f t="shared" ca="1" si="1"/>
        <v>41830</v>
      </c>
    </row>
    <row r="124" spans="14:14" x14ac:dyDescent="0.25">
      <c r="N124" s="49">
        <f t="shared" ca="1" si="1"/>
        <v>41831</v>
      </c>
    </row>
    <row r="125" spans="14:14" x14ac:dyDescent="0.25">
      <c r="N125" s="49">
        <f t="shared" ca="1" si="1"/>
        <v>41832</v>
      </c>
    </row>
    <row r="126" spans="14:14" x14ac:dyDescent="0.25">
      <c r="N126" s="49">
        <f t="shared" ca="1" si="1"/>
        <v>41833</v>
      </c>
    </row>
    <row r="127" spans="14:14" x14ac:dyDescent="0.25">
      <c r="N127" s="49">
        <f t="shared" ca="1" si="1"/>
        <v>41834</v>
      </c>
    </row>
    <row r="128" spans="14:14" x14ac:dyDescent="0.25">
      <c r="N128" s="49">
        <f t="shared" ca="1" si="1"/>
        <v>41835</v>
      </c>
    </row>
    <row r="129" spans="14:14" x14ac:dyDescent="0.25">
      <c r="N129" s="49">
        <f t="shared" ca="1" si="1"/>
        <v>41836</v>
      </c>
    </row>
    <row r="130" spans="14:14" x14ac:dyDescent="0.25">
      <c r="N130" s="49">
        <f t="shared" ca="1" si="1"/>
        <v>41837</v>
      </c>
    </row>
    <row r="131" spans="14:14" x14ac:dyDescent="0.25">
      <c r="N131" s="49">
        <f t="shared" ca="1" si="1"/>
        <v>41838</v>
      </c>
    </row>
    <row r="132" spans="14:14" x14ac:dyDescent="0.25">
      <c r="N132" s="49">
        <f t="shared" ca="1" si="1"/>
        <v>41839</v>
      </c>
    </row>
    <row r="133" spans="14:14" x14ac:dyDescent="0.25">
      <c r="N133" s="49">
        <f t="shared" ca="1" si="1"/>
        <v>41840</v>
      </c>
    </row>
    <row r="134" spans="14:14" x14ac:dyDescent="0.25">
      <c r="N134" s="49">
        <f t="shared" ref="N134:N197" ca="1" si="2">N133+1</f>
        <v>41841</v>
      </c>
    </row>
    <row r="135" spans="14:14" x14ac:dyDescent="0.25">
      <c r="N135" s="49">
        <f t="shared" ca="1" si="2"/>
        <v>41842</v>
      </c>
    </row>
    <row r="136" spans="14:14" x14ac:dyDescent="0.25">
      <c r="N136" s="49">
        <f t="shared" ca="1" si="2"/>
        <v>41843</v>
      </c>
    </row>
    <row r="137" spans="14:14" x14ac:dyDescent="0.25">
      <c r="N137" s="49">
        <f t="shared" ca="1" si="2"/>
        <v>41844</v>
      </c>
    </row>
    <row r="138" spans="14:14" x14ac:dyDescent="0.25">
      <c r="N138" s="49">
        <f t="shared" ca="1" si="2"/>
        <v>41845</v>
      </c>
    </row>
    <row r="139" spans="14:14" x14ac:dyDescent="0.25">
      <c r="N139" s="49">
        <f t="shared" ca="1" si="2"/>
        <v>41846</v>
      </c>
    </row>
    <row r="140" spans="14:14" x14ac:dyDescent="0.25">
      <c r="N140" s="49">
        <f t="shared" ca="1" si="2"/>
        <v>41847</v>
      </c>
    </row>
    <row r="141" spans="14:14" x14ac:dyDescent="0.25">
      <c r="N141" s="49">
        <f t="shared" ca="1" si="2"/>
        <v>41848</v>
      </c>
    </row>
    <row r="142" spans="14:14" x14ac:dyDescent="0.25">
      <c r="N142" s="49">
        <f t="shared" ca="1" si="2"/>
        <v>41849</v>
      </c>
    </row>
    <row r="143" spans="14:14" x14ac:dyDescent="0.25">
      <c r="N143" s="49">
        <f t="shared" ca="1" si="2"/>
        <v>41850</v>
      </c>
    </row>
    <row r="144" spans="14:14" x14ac:dyDescent="0.25">
      <c r="N144" s="49">
        <f t="shared" ca="1" si="2"/>
        <v>41851</v>
      </c>
    </row>
    <row r="145" spans="14:14" x14ac:dyDescent="0.25">
      <c r="N145" s="49">
        <f t="shared" ca="1" si="2"/>
        <v>41852</v>
      </c>
    </row>
    <row r="146" spans="14:14" x14ac:dyDescent="0.25">
      <c r="N146" s="49">
        <f t="shared" ca="1" si="2"/>
        <v>41853</v>
      </c>
    </row>
    <row r="147" spans="14:14" x14ac:dyDescent="0.25">
      <c r="N147" s="49">
        <f t="shared" ca="1" si="2"/>
        <v>41854</v>
      </c>
    </row>
    <row r="148" spans="14:14" x14ac:dyDescent="0.25">
      <c r="N148" s="49">
        <f t="shared" ca="1" si="2"/>
        <v>41855</v>
      </c>
    </row>
    <row r="149" spans="14:14" x14ac:dyDescent="0.25">
      <c r="N149" s="49">
        <f t="shared" ca="1" si="2"/>
        <v>41856</v>
      </c>
    </row>
    <row r="150" spans="14:14" x14ac:dyDescent="0.25">
      <c r="N150" s="49">
        <f t="shared" ca="1" si="2"/>
        <v>41857</v>
      </c>
    </row>
    <row r="151" spans="14:14" x14ac:dyDescent="0.25">
      <c r="N151" s="49">
        <f t="shared" ca="1" si="2"/>
        <v>41858</v>
      </c>
    </row>
    <row r="152" spans="14:14" x14ac:dyDescent="0.25">
      <c r="N152" s="49">
        <f t="shared" ca="1" si="2"/>
        <v>41859</v>
      </c>
    </row>
    <row r="153" spans="14:14" x14ac:dyDescent="0.25">
      <c r="N153" s="49">
        <f t="shared" ca="1" si="2"/>
        <v>41860</v>
      </c>
    </row>
    <row r="154" spans="14:14" x14ac:dyDescent="0.25">
      <c r="N154" s="49">
        <f t="shared" ca="1" si="2"/>
        <v>41861</v>
      </c>
    </row>
    <row r="155" spans="14:14" x14ac:dyDescent="0.25">
      <c r="N155" s="49">
        <f t="shared" ca="1" si="2"/>
        <v>41862</v>
      </c>
    </row>
    <row r="156" spans="14:14" x14ac:dyDescent="0.25">
      <c r="N156" s="49">
        <f t="shared" ca="1" si="2"/>
        <v>41863</v>
      </c>
    </row>
    <row r="157" spans="14:14" x14ac:dyDescent="0.25">
      <c r="N157" s="49">
        <f t="shared" ca="1" si="2"/>
        <v>41864</v>
      </c>
    </row>
    <row r="158" spans="14:14" x14ac:dyDescent="0.25">
      <c r="N158" s="49">
        <f t="shared" ca="1" si="2"/>
        <v>41865</v>
      </c>
    </row>
    <row r="159" spans="14:14" x14ac:dyDescent="0.25">
      <c r="N159" s="49">
        <f t="shared" ca="1" si="2"/>
        <v>41866</v>
      </c>
    </row>
    <row r="160" spans="14:14" x14ac:dyDescent="0.25">
      <c r="N160" s="49">
        <f t="shared" ca="1" si="2"/>
        <v>41867</v>
      </c>
    </row>
    <row r="161" spans="14:14" x14ac:dyDescent="0.25">
      <c r="N161" s="49">
        <f t="shared" ca="1" si="2"/>
        <v>41868</v>
      </c>
    </row>
    <row r="162" spans="14:14" x14ac:dyDescent="0.25">
      <c r="N162" s="49">
        <f t="shared" ca="1" si="2"/>
        <v>41869</v>
      </c>
    </row>
    <row r="163" spans="14:14" x14ac:dyDescent="0.25">
      <c r="N163" s="49">
        <f t="shared" ca="1" si="2"/>
        <v>41870</v>
      </c>
    </row>
    <row r="164" spans="14:14" x14ac:dyDescent="0.25">
      <c r="N164" s="49">
        <f t="shared" ca="1" si="2"/>
        <v>41871</v>
      </c>
    </row>
    <row r="165" spans="14:14" x14ac:dyDescent="0.25">
      <c r="N165" s="49">
        <f t="shared" ca="1" si="2"/>
        <v>41872</v>
      </c>
    </row>
    <row r="166" spans="14:14" x14ac:dyDescent="0.25">
      <c r="N166" s="49">
        <f t="shared" ca="1" si="2"/>
        <v>41873</v>
      </c>
    </row>
    <row r="167" spans="14:14" x14ac:dyDescent="0.25">
      <c r="N167" s="49">
        <f t="shared" ca="1" si="2"/>
        <v>41874</v>
      </c>
    </row>
    <row r="168" spans="14:14" x14ac:dyDescent="0.25">
      <c r="N168" s="49">
        <f t="shared" ca="1" si="2"/>
        <v>41875</v>
      </c>
    </row>
    <row r="169" spans="14:14" x14ac:dyDescent="0.25">
      <c r="N169" s="49">
        <f t="shared" ca="1" si="2"/>
        <v>41876</v>
      </c>
    </row>
    <row r="170" spans="14:14" x14ac:dyDescent="0.25">
      <c r="N170" s="49">
        <f t="shared" ca="1" si="2"/>
        <v>41877</v>
      </c>
    </row>
    <row r="171" spans="14:14" x14ac:dyDescent="0.25">
      <c r="N171" s="49">
        <f t="shared" ca="1" si="2"/>
        <v>41878</v>
      </c>
    </row>
    <row r="172" spans="14:14" x14ac:dyDescent="0.25">
      <c r="N172" s="49">
        <f t="shared" ca="1" si="2"/>
        <v>41879</v>
      </c>
    </row>
    <row r="173" spans="14:14" x14ac:dyDescent="0.25">
      <c r="N173" s="49">
        <f t="shared" ca="1" si="2"/>
        <v>41880</v>
      </c>
    </row>
    <row r="174" spans="14:14" x14ac:dyDescent="0.25">
      <c r="N174" s="49">
        <f t="shared" ca="1" si="2"/>
        <v>41881</v>
      </c>
    </row>
    <row r="175" spans="14:14" x14ac:dyDescent="0.25">
      <c r="N175" s="49">
        <f t="shared" ca="1" si="2"/>
        <v>41882</v>
      </c>
    </row>
    <row r="176" spans="14:14" x14ac:dyDescent="0.25">
      <c r="N176" s="49">
        <f t="shared" ca="1" si="2"/>
        <v>41883</v>
      </c>
    </row>
    <row r="177" spans="14:14" x14ac:dyDescent="0.25">
      <c r="N177" s="49">
        <f t="shared" ca="1" si="2"/>
        <v>41884</v>
      </c>
    </row>
    <row r="178" spans="14:14" x14ac:dyDescent="0.25">
      <c r="N178" s="49">
        <f t="shared" ca="1" si="2"/>
        <v>41885</v>
      </c>
    </row>
    <row r="179" spans="14:14" x14ac:dyDescent="0.25">
      <c r="N179" s="49">
        <f t="shared" ca="1" si="2"/>
        <v>41886</v>
      </c>
    </row>
    <row r="180" spans="14:14" x14ac:dyDescent="0.25">
      <c r="N180" s="49">
        <f t="shared" ca="1" si="2"/>
        <v>41887</v>
      </c>
    </row>
    <row r="181" spans="14:14" x14ac:dyDescent="0.25">
      <c r="N181" s="49">
        <f t="shared" ca="1" si="2"/>
        <v>41888</v>
      </c>
    </row>
    <row r="182" spans="14:14" x14ac:dyDescent="0.25">
      <c r="N182" s="49">
        <f t="shared" ca="1" si="2"/>
        <v>41889</v>
      </c>
    </row>
    <row r="183" spans="14:14" x14ac:dyDescent="0.25">
      <c r="N183" s="49">
        <f t="shared" ca="1" si="2"/>
        <v>41890</v>
      </c>
    </row>
    <row r="184" spans="14:14" x14ac:dyDescent="0.25">
      <c r="N184" s="49">
        <f t="shared" ca="1" si="2"/>
        <v>41891</v>
      </c>
    </row>
    <row r="185" spans="14:14" x14ac:dyDescent="0.25">
      <c r="N185" s="49">
        <f t="shared" ca="1" si="2"/>
        <v>41892</v>
      </c>
    </row>
    <row r="186" spans="14:14" x14ac:dyDescent="0.25">
      <c r="N186" s="49">
        <f t="shared" ca="1" si="2"/>
        <v>41893</v>
      </c>
    </row>
    <row r="187" spans="14:14" x14ac:dyDescent="0.25">
      <c r="N187" s="49">
        <f t="shared" ca="1" si="2"/>
        <v>41894</v>
      </c>
    </row>
    <row r="188" spans="14:14" x14ac:dyDescent="0.25">
      <c r="N188" s="49">
        <f t="shared" ca="1" si="2"/>
        <v>41895</v>
      </c>
    </row>
    <row r="189" spans="14:14" x14ac:dyDescent="0.25">
      <c r="N189" s="49">
        <f t="shared" ca="1" si="2"/>
        <v>41896</v>
      </c>
    </row>
    <row r="190" spans="14:14" x14ac:dyDescent="0.25">
      <c r="N190" s="49">
        <f t="shared" ca="1" si="2"/>
        <v>41897</v>
      </c>
    </row>
    <row r="191" spans="14:14" x14ac:dyDescent="0.25">
      <c r="N191" s="49">
        <f t="shared" ca="1" si="2"/>
        <v>41898</v>
      </c>
    </row>
    <row r="192" spans="14:14" x14ac:dyDescent="0.25">
      <c r="N192" s="49">
        <f t="shared" ca="1" si="2"/>
        <v>41899</v>
      </c>
    </row>
    <row r="193" spans="14:14" x14ac:dyDescent="0.25">
      <c r="N193" s="49">
        <f t="shared" ca="1" si="2"/>
        <v>41900</v>
      </c>
    </row>
    <row r="194" spans="14:14" x14ac:dyDescent="0.25">
      <c r="N194" s="49">
        <f t="shared" ca="1" si="2"/>
        <v>41901</v>
      </c>
    </row>
    <row r="195" spans="14:14" x14ac:dyDescent="0.25">
      <c r="N195" s="49">
        <f t="shared" ca="1" si="2"/>
        <v>41902</v>
      </c>
    </row>
    <row r="196" spans="14:14" x14ac:dyDescent="0.25">
      <c r="N196" s="49">
        <f t="shared" ca="1" si="2"/>
        <v>41903</v>
      </c>
    </row>
    <row r="197" spans="14:14" x14ac:dyDescent="0.25">
      <c r="N197" s="49">
        <f t="shared" ca="1" si="2"/>
        <v>41904</v>
      </c>
    </row>
    <row r="198" spans="14:14" x14ac:dyDescent="0.25">
      <c r="N198" s="49">
        <f t="shared" ref="N198:N261" ca="1" si="3">N197+1</f>
        <v>41905</v>
      </c>
    </row>
    <row r="199" spans="14:14" x14ac:dyDescent="0.25">
      <c r="N199" s="49">
        <f t="shared" ca="1" si="3"/>
        <v>41906</v>
      </c>
    </row>
    <row r="200" spans="14:14" x14ac:dyDescent="0.25">
      <c r="N200" s="49">
        <f t="shared" ca="1" si="3"/>
        <v>41907</v>
      </c>
    </row>
    <row r="201" spans="14:14" x14ac:dyDescent="0.25">
      <c r="N201" s="49">
        <f t="shared" ca="1" si="3"/>
        <v>41908</v>
      </c>
    </row>
    <row r="202" spans="14:14" x14ac:dyDescent="0.25">
      <c r="N202" s="49">
        <f t="shared" ca="1" si="3"/>
        <v>41909</v>
      </c>
    </row>
    <row r="203" spans="14:14" x14ac:dyDescent="0.25">
      <c r="N203" s="49">
        <f t="shared" ca="1" si="3"/>
        <v>41910</v>
      </c>
    </row>
    <row r="204" spans="14:14" x14ac:dyDescent="0.25">
      <c r="N204" s="49">
        <f t="shared" ca="1" si="3"/>
        <v>41911</v>
      </c>
    </row>
    <row r="205" spans="14:14" x14ac:dyDescent="0.25">
      <c r="N205" s="49">
        <f t="shared" ca="1" si="3"/>
        <v>41912</v>
      </c>
    </row>
    <row r="206" spans="14:14" x14ac:dyDescent="0.25">
      <c r="N206" s="49">
        <f t="shared" ca="1" si="3"/>
        <v>41913</v>
      </c>
    </row>
    <row r="207" spans="14:14" x14ac:dyDescent="0.25">
      <c r="N207" s="49">
        <f t="shared" ca="1" si="3"/>
        <v>41914</v>
      </c>
    </row>
    <row r="208" spans="14:14" x14ac:dyDescent="0.25">
      <c r="N208" s="49">
        <f t="shared" ca="1" si="3"/>
        <v>41915</v>
      </c>
    </row>
    <row r="209" spans="14:14" x14ac:dyDescent="0.25">
      <c r="N209" s="49">
        <f t="shared" ca="1" si="3"/>
        <v>41916</v>
      </c>
    </row>
    <row r="210" spans="14:14" x14ac:dyDescent="0.25">
      <c r="N210" s="49">
        <f t="shared" ca="1" si="3"/>
        <v>41917</v>
      </c>
    </row>
    <row r="211" spans="14:14" x14ac:dyDescent="0.25">
      <c r="N211" s="49">
        <f t="shared" ca="1" si="3"/>
        <v>41918</v>
      </c>
    </row>
    <row r="212" spans="14:14" x14ac:dyDescent="0.25">
      <c r="N212" s="49">
        <f t="shared" ca="1" si="3"/>
        <v>41919</v>
      </c>
    </row>
    <row r="213" spans="14:14" x14ac:dyDescent="0.25">
      <c r="N213" s="49">
        <f t="shared" ca="1" si="3"/>
        <v>41920</v>
      </c>
    </row>
    <row r="214" spans="14:14" x14ac:dyDescent="0.25">
      <c r="N214" s="49">
        <f t="shared" ca="1" si="3"/>
        <v>41921</v>
      </c>
    </row>
    <row r="215" spans="14:14" x14ac:dyDescent="0.25">
      <c r="N215" s="49">
        <f t="shared" ca="1" si="3"/>
        <v>41922</v>
      </c>
    </row>
    <row r="216" spans="14:14" x14ac:dyDescent="0.25">
      <c r="N216" s="49">
        <f t="shared" ca="1" si="3"/>
        <v>41923</v>
      </c>
    </row>
    <row r="217" spans="14:14" x14ac:dyDescent="0.25">
      <c r="N217" s="49">
        <f t="shared" ca="1" si="3"/>
        <v>41924</v>
      </c>
    </row>
    <row r="218" spans="14:14" x14ac:dyDescent="0.25">
      <c r="N218" s="49">
        <f t="shared" ca="1" si="3"/>
        <v>41925</v>
      </c>
    </row>
    <row r="219" spans="14:14" x14ac:dyDescent="0.25">
      <c r="N219" s="49">
        <f t="shared" ca="1" si="3"/>
        <v>41926</v>
      </c>
    </row>
    <row r="220" spans="14:14" x14ac:dyDescent="0.25">
      <c r="N220" s="49">
        <f t="shared" ca="1" si="3"/>
        <v>41927</v>
      </c>
    </row>
    <row r="221" spans="14:14" x14ac:dyDescent="0.25">
      <c r="N221" s="49">
        <f t="shared" ca="1" si="3"/>
        <v>41928</v>
      </c>
    </row>
    <row r="222" spans="14:14" x14ac:dyDescent="0.25">
      <c r="N222" s="49">
        <f t="shared" ca="1" si="3"/>
        <v>41929</v>
      </c>
    </row>
    <row r="223" spans="14:14" x14ac:dyDescent="0.25">
      <c r="N223" s="49">
        <f t="shared" ca="1" si="3"/>
        <v>41930</v>
      </c>
    </row>
    <row r="224" spans="14:14" x14ac:dyDescent="0.25">
      <c r="N224" s="49">
        <f t="shared" ca="1" si="3"/>
        <v>41931</v>
      </c>
    </row>
    <row r="225" spans="14:14" x14ac:dyDescent="0.25">
      <c r="N225" s="49">
        <f t="shared" ca="1" si="3"/>
        <v>41932</v>
      </c>
    </row>
    <row r="226" spans="14:14" x14ac:dyDescent="0.25">
      <c r="N226" s="49">
        <f t="shared" ca="1" si="3"/>
        <v>41933</v>
      </c>
    </row>
    <row r="227" spans="14:14" x14ac:dyDescent="0.25">
      <c r="N227" s="49">
        <f t="shared" ca="1" si="3"/>
        <v>41934</v>
      </c>
    </row>
    <row r="228" spans="14:14" x14ac:dyDescent="0.25">
      <c r="N228" s="49">
        <f t="shared" ca="1" si="3"/>
        <v>41935</v>
      </c>
    </row>
    <row r="229" spans="14:14" x14ac:dyDescent="0.25">
      <c r="N229" s="49">
        <f t="shared" ca="1" si="3"/>
        <v>41936</v>
      </c>
    </row>
    <row r="230" spans="14:14" x14ac:dyDescent="0.25">
      <c r="N230" s="49">
        <f t="shared" ca="1" si="3"/>
        <v>41937</v>
      </c>
    </row>
    <row r="231" spans="14:14" x14ac:dyDescent="0.25">
      <c r="N231" s="49">
        <f t="shared" ca="1" si="3"/>
        <v>41938</v>
      </c>
    </row>
    <row r="232" spans="14:14" x14ac:dyDescent="0.25">
      <c r="N232" s="49">
        <f t="shared" ca="1" si="3"/>
        <v>41939</v>
      </c>
    </row>
    <row r="233" spans="14:14" x14ac:dyDescent="0.25">
      <c r="N233" s="49">
        <f t="shared" ca="1" si="3"/>
        <v>41940</v>
      </c>
    </row>
    <row r="234" spans="14:14" x14ac:dyDescent="0.25">
      <c r="N234" s="49">
        <f t="shared" ca="1" si="3"/>
        <v>41941</v>
      </c>
    </row>
    <row r="235" spans="14:14" x14ac:dyDescent="0.25">
      <c r="N235" s="49">
        <f t="shared" ca="1" si="3"/>
        <v>41942</v>
      </c>
    </row>
    <row r="236" spans="14:14" x14ac:dyDescent="0.25">
      <c r="N236" s="49">
        <f t="shared" ca="1" si="3"/>
        <v>41943</v>
      </c>
    </row>
    <row r="237" spans="14:14" x14ac:dyDescent="0.25">
      <c r="N237" s="49">
        <f t="shared" ca="1" si="3"/>
        <v>41944</v>
      </c>
    </row>
    <row r="238" spans="14:14" x14ac:dyDescent="0.25">
      <c r="N238" s="49">
        <f t="shared" ca="1" si="3"/>
        <v>41945</v>
      </c>
    </row>
    <row r="239" spans="14:14" x14ac:dyDescent="0.25">
      <c r="N239" s="49">
        <f t="shared" ca="1" si="3"/>
        <v>41946</v>
      </c>
    </row>
    <row r="240" spans="14:14" x14ac:dyDescent="0.25">
      <c r="N240" s="49">
        <f t="shared" ca="1" si="3"/>
        <v>41947</v>
      </c>
    </row>
    <row r="241" spans="14:14" x14ac:dyDescent="0.25">
      <c r="N241" s="49">
        <f t="shared" ca="1" si="3"/>
        <v>41948</v>
      </c>
    </row>
    <row r="242" spans="14:14" x14ac:dyDescent="0.25">
      <c r="N242" s="49">
        <f t="shared" ca="1" si="3"/>
        <v>41949</v>
      </c>
    </row>
    <row r="243" spans="14:14" x14ac:dyDescent="0.25">
      <c r="N243" s="49">
        <f t="shared" ca="1" si="3"/>
        <v>41950</v>
      </c>
    </row>
    <row r="244" spans="14:14" x14ac:dyDescent="0.25">
      <c r="N244" s="49">
        <f t="shared" ca="1" si="3"/>
        <v>41951</v>
      </c>
    </row>
    <row r="245" spans="14:14" x14ac:dyDescent="0.25">
      <c r="N245" s="49">
        <f t="shared" ca="1" si="3"/>
        <v>41952</v>
      </c>
    </row>
    <row r="246" spans="14:14" x14ac:dyDescent="0.25">
      <c r="N246" s="49">
        <f t="shared" ca="1" si="3"/>
        <v>41953</v>
      </c>
    </row>
    <row r="247" spans="14:14" x14ac:dyDescent="0.25">
      <c r="N247" s="49">
        <f t="shared" ca="1" si="3"/>
        <v>41954</v>
      </c>
    </row>
    <row r="248" spans="14:14" x14ac:dyDescent="0.25">
      <c r="N248" s="49">
        <f t="shared" ca="1" si="3"/>
        <v>41955</v>
      </c>
    </row>
    <row r="249" spans="14:14" x14ac:dyDescent="0.25">
      <c r="N249" s="49">
        <f t="shared" ca="1" si="3"/>
        <v>41956</v>
      </c>
    </row>
    <row r="250" spans="14:14" x14ac:dyDescent="0.25">
      <c r="N250" s="49">
        <f t="shared" ca="1" si="3"/>
        <v>41957</v>
      </c>
    </row>
    <row r="251" spans="14:14" x14ac:dyDescent="0.25">
      <c r="N251" s="49">
        <f t="shared" ca="1" si="3"/>
        <v>41958</v>
      </c>
    </row>
    <row r="252" spans="14:14" x14ac:dyDescent="0.25">
      <c r="N252" s="49">
        <f t="shared" ca="1" si="3"/>
        <v>41959</v>
      </c>
    </row>
    <row r="253" spans="14:14" x14ac:dyDescent="0.25">
      <c r="N253" s="49">
        <f t="shared" ca="1" si="3"/>
        <v>41960</v>
      </c>
    </row>
    <row r="254" spans="14:14" x14ac:dyDescent="0.25">
      <c r="N254" s="49">
        <f t="shared" ca="1" si="3"/>
        <v>41961</v>
      </c>
    </row>
    <row r="255" spans="14:14" x14ac:dyDescent="0.25">
      <c r="N255" s="49">
        <f t="shared" ca="1" si="3"/>
        <v>41962</v>
      </c>
    </row>
    <row r="256" spans="14:14" x14ac:dyDescent="0.25">
      <c r="N256" s="49">
        <f t="shared" ca="1" si="3"/>
        <v>41963</v>
      </c>
    </row>
    <row r="257" spans="14:14" x14ac:dyDescent="0.25">
      <c r="N257" s="49">
        <f t="shared" ca="1" si="3"/>
        <v>41964</v>
      </c>
    </row>
    <row r="258" spans="14:14" x14ac:dyDescent="0.25">
      <c r="N258" s="49">
        <f t="shared" ca="1" si="3"/>
        <v>41965</v>
      </c>
    </row>
    <row r="259" spans="14:14" x14ac:dyDescent="0.25">
      <c r="N259" s="49">
        <f t="shared" ca="1" si="3"/>
        <v>41966</v>
      </c>
    </row>
    <row r="260" spans="14:14" x14ac:dyDescent="0.25">
      <c r="N260" s="49">
        <f t="shared" ca="1" si="3"/>
        <v>41967</v>
      </c>
    </row>
    <row r="261" spans="14:14" x14ac:dyDescent="0.25">
      <c r="N261" s="49">
        <f t="shared" ca="1" si="3"/>
        <v>41968</v>
      </c>
    </row>
    <row r="262" spans="14:14" x14ac:dyDescent="0.25">
      <c r="N262" s="49">
        <f t="shared" ref="N262:N325" ca="1" si="4">N261+1</f>
        <v>41969</v>
      </c>
    </row>
    <row r="263" spans="14:14" x14ac:dyDescent="0.25">
      <c r="N263" s="49">
        <f t="shared" ca="1" si="4"/>
        <v>41970</v>
      </c>
    </row>
    <row r="264" spans="14:14" x14ac:dyDescent="0.25">
      <c r="N264" s="49">
        <f t="shared" ca="1" si="4"/>
        <v>41971</v>
      </c>
    </row>
    <row r="265" spans="14:14" x14ac:dyDescent="0.25">
      <c r="N265" s="49">
        <f t="shared" ca="1" si="4"/>
        <v>41972</v>
      </c>
    </row>
    <row r="266" spans="14:14" x14ac:dyDescent="0.25">
      <c r="N266" s="49">
        <f t="shared" ca="1" si="4"/>
        <v>41973</v>
      </c>
    </row>
    <row r="267" spans="14:14" x14ac:dyDescent="0.25">
      <c r="N267" s="49">
        <f t="shared" ca="1" si="4"/>
        <v>41974</v>
      </c>
    </row>
    <row r="268" spans="14:14" x14ac:dyDescent="0.25">
      <c r="N268" s="49">
        <f t="shared" ca="1" si="4"/>
        <v>41975</v>
      </c>
    </row>
    <row r="269" spans="14:14" x14ac:dyDescent="0.25">
      <c r="N269" s="49">
        <f t="shared" ca="1" si="4"/>
        <v>41976</v>
      </c>
    </row>
    <row r="270" spans="14:14" x14ac:dyDescent="0.25">
      <c r="N270" s="49">
        <f t="shared" ca="1" si="4"/>
        <v>41977</v>
      </c>
    </row>
    <row r="271" spans="14:14" x14ac:dyDescent="0.25">
      <c r="N271" s="49">
        <f t="shared" ca="1" si="4"/>
        <v>41978</v>
      </c>
    </row>
    <row r="272" spans="14:14" x14ac:dyDescent="0.25">
      <c r="N272" s="49">
        <f t="shared" ca="1" si="4"/>
        <v>41979</v>
      </c>
    </row>
    <row r="273" spans="14:14" x14ac:dyDescent="0.25">
      <c r="N273" s="49">
        <f t="shared" ca="1" si="4"/>
        <v>41980</v>
      </c>
    </row>
    <row r="274" spans="14:14" x14ac:dyDescent="0.25">
      <c r="N274" s="49">
        <f t="shared" ca="1" si="4"/>
        <v>41981</v>
      </c>
    </row>
    <row r="275" spans="14:14" x14ac:dyDescent="0.25">
      <c r="N275" s="49">
        <f t="shared" ca="1" si="4"/>
        <v>41982</v>
      </c>
    </row>
    <row r="276" spans="14:14" x14ac:dyDescent="0.25">
      <c r="N276" s="49">
        <f t="shared" ca="1" si="4"/>
        <v>41983</v>
      </c>
    </row>
    <row r="277" spans="14:14" x14ac:dyDescent="0.25">
      <c r="N277" s="49">
        <f t="shared" ca="1" si="4"/>
        <v>41984</v>
      </c>
    </row>
    <row r="278" spans="14:14" x14ac:dyDescent="0.25">
      <c r="N278" s="49">
        <f t="shared" ca="1" si="4"/>
        <v>41985</v>
      </c>
    </row>
    <row r="279" spans="14:14" x14ac:dyDescent="0.25">
      <c r="N279" s="49">
        <f t="shared" ca="1" si="4"/>
        <v>41986</v>
      </c>
    </row>
    <row r="280" spans="14:14" x14ac:dyDescent="0.25">
      <c r="N280" s="49">
        <f t="shared" ca="1" si="4"/>
        <v>41987</v>
      </c>
    </row>
    <row r="281" spans="14:14" x14ac:dyDescent="0.25">
      <c r="N281" s="49">
        <f t="shared" ca="1" si="4"/>
        <v>41988</v>
      </c>
    </row>
    <row r="282" spans="14:14" x14ac:dyDescent="0.25">
      <c r="N282" s="49">
        <f t="shared" ca="1" si="4"/>
        <v>41989</v>
      </c>
    </row>
    <row r="283" spans="14:14" x14ac:dyDescent="0.25">
      <c r="N283" s="49">
        <f t="shared" ca="1" si="4"/>
        <v>41990</v>
      </c>
    </row>
    <row r="284" spans="14:14" x14ac:dyDescent="0.25">
      <c r="N284" s="49">
        <f t="shared" ca="1" si="4"/>
        <v>41991</v>
      </c>
    </row>
    <row r="285" spans="14:14" x14ac:dyDescent="0.25">
      <c r="N285" s="49">
        <f t="shared" ca="1" si="4"/>
        <v>41992</v>
      </c>
    </row>
    <row r="286" spans="14:14" x14ac:dyDescent="0.25">
      <c r="N286" s="49">
        <f t="shared" ca="1" si="4"/>
        <v>41993</v>
      </c>
    </row>
    <row r="287" spans="14:14" x14ac:dyDescent="0.25">
      <c r="N287" s="49">
        <f t="shared" ca="1" si="4"/>
        <v>41994</v>
      </c>
    </row>
    <row r="288" spans="14:14" x14ac:dyDescent="0.25">
      <c r="N288" s="49">
        <f t="shared" ca="1" si="4"/>
        <v>41995</v>
      </c>
    </row>
    <row r="289" spans="14:14" x14ac:dyDescent="0.25">
      <c r="N289" s="49">
        <f t="shared" ca="1" si="4"/>
        <v>41996</v>
      </c>
    </row>
    <row r="290" spans="14:14" x14ac:dyDescent="0.25">
      <c r="N290" s="49">
        <f t="shared" ca="1" si="4"/>
        <v>41997</v>
      </c>
    </row>
    <row r="291" spans="14:14" x14ac:dyDescent="0.25">
      <c r="N291" s="49">
        <f t="shared" ca="1" si="4"/>
        <v>41998</v>
      </c>
    </row>
    <row r="292" spans="14:14" x14ac:dyDescent="0.25">
      <c r="N292" s="49">
        <f t="shared" ca="1" si="4"/>
        <v>41999</v>
      </c>
    </row>
    <row r="293" spans="14:14" x14ac:dyDescent="0.25">
      <c r="N293" s="49">
        <f t="shared" ca="1" si="4"/>
        <v>42000</v>
      </c>
    </row>
    <row r="294" spans="14:14" x14ac:dyDescent="0.25">
      <c r="N294" s="49">
        <f t="shared" ca="1" si="4"/>
        <v>42001</v>
      </c>
    </row>
    <row r="295" spans="14:14" x14ac:dyDescent="0.25">
      <c r="N295" s="49">
        <f t="shared" ca="1" si="4"/>
        <v>42002</v>
      </c>
    </row>
    <row r="296" spans="14:14" x14ac:dyDescent="0.25">
      <c r="N296" s="49">
        <f t="shared" ca="1" si="4"/>
        <v>42003</v>
      </c>
    </row>
    <row r="297" spans="14:14" x14ac:dyDescent="0.25">
      <c r="N297" s="49">
        <f t="shared" ca="1" si="4"/>
        <v>42004</v>
      </c>
    </row>
    <row r="298" spans="14:14" x14ac:dyDescent="0.25">
      <c r="N298" s="49">
        <f t="shared" ca="1" si="4"/>
        <v>42005</v>
      </c>
    </row>
    <row r="299" spans="14:14" x14ac:dyDescent="0.25">
      <c r="N299" s="49">
        <f t="shared" ca="1" si="4"/>
        <v>42006</v>
      </c>
    </row>
    <row r="300" spans="14:14" x14ac:dyDescent="0.25">
      <c r="N300" s="49">
        <f t="shared" ca="1" si="4"/>
        <v>42007</v>
      </c>
    </row>
    <row r="301" spans="14:14" x14ac:dyDescent="0.25">
      <c r="N301" s="49">
        <f t="shared" ca="1" si="4"/>
        <v>42008</v>
      </c>
    </row>
    <row r="302" spans="14:14" x14ac:dyDescent="0.25">
      <c r="N302" s="49">
        <f t="shared" ca="1" si="4"/>
        <v>42009</v>
      </c>
    </row>
    <row r="303" spans="14:14" x14ac:dyDescent="0.25">
      <c r="N303" s="49">
        <f t="shared" ca="1" si="4"/>
        <v>42010</v>
      </c>
    </row>
    <row r="304" spans="14:14" x14ac:dyDescent="0.25">
      <c r="N304" s="49">
        <f t="shared" ca="1" si="4"/>
        <v>42011</v>
      </c>
    </row>
    <row r="305" spans="14:14" x14ac:dyDescent="0.25">
      <c r="N305" s="49">
        <f t="shared" ca="1" si="4"/>
        <v>42012</v>
      </c>
    </row>
    <row r="306" spans="14:14" x14ac:dyDescent="0.25">
      <c r="N306" s="49">
        <f t="shared" ca="1" si="4"/>
        <v>42013</v>
      </c>
    </row>
    <row r="307" spans="14:14" x14ac:dyDescent="0.25">
      <c r="N307" s="49">
        <f t="shared" ca="1" si="4"/>
        <v>42014</v>
      </c>
    </row>
    <row r="308" spans="14:14" x14ac:dyDescent="0.25">
      <c r="N308" s="49">
        <f t="shared" ca="1" si="4"/>
        <v>42015</v>
      </c>
    </row>
    <row r="309" spans="14:14" x14ac:dyDescent="0.25">
      <c r="N309" s="49">
        <f t="shared" ca="1" si="4"/>
        <v>42016</v>
      </c>
    </row>
    <row r="310" spans="14:14" x14ac:dyDescent="0.25">
      <c r="N310" s="49">
        <f t="shared" ca="1" si="4"/>
        <v>42017</v>
      </c>
    </row>
    <row r="311" spans="14:14" x14ac:dyDescent="0.25">
      <c r="N311" s="49">
        <f t="shared" ca="1" si="4"/>
        <v>42018</v>
      </c>
    </row>
    <row r="312" spans="14:14" x14ac:dyDescent="0.25">
      <c r="N312" s="49">
        <f t="shared" ca="1" si="4"/>
        <v>42019</v>
      </c>
    </row>
    <row r="313" spans="14:14" x14ac:dyDescent="0.25">
      <c r="N313" s="49">
        <f t="shared" ca="1" si="4"/>
        <v>42020</v>
      </c>
    </row>
    <row r="314" spans="14:14" x14ac:dyDescent="0.25">
      <c r="N314" s="49">
        <f t="shared" ca="1" si="4"/>
        <v>42021</v>
      </c>
    </row>
    <row r="315" spans="14:14" x14ac:dyDescent="0.25">
      <c r="N315" s="49">
        <f t="shared" ca="1" si="4"/>
        <v>42022</v>
      </c>
    </row>
    <row r="316" spans="14:14" x14ac:dyDescent="0.25">
      <c r="N316" s="49">
        <f t="shared" ca="1" si="4"/>
        <v>42023</v>
      </c>
    </row>
    <row r="317" spans="14:14" x14ac:dyDescent="0.25">
      <c r="N317" s="49">
        <f t="shared" ca="1" si="4"/>
        <v>42024</v>
      </c>
    </row>
    <row r="318" spans="14:14" x14ac:dyDescent="0.25">
      <c r="N318" s="49">
        <f t="shared" ca="1" si="4"/>
        <v>42025</v>
      </c>
    </row>
    <row r="319" spans="14:14" x14ac:dyDescent="0.25">
      <c r="N319" s="49">
        <f t="shared" ca="1" si="4"/>
        <v>42026</v>
      </c>
    </row>
    <row r="320" spans="14:14" x14ac:dyDescent="0.25">
      <c r="N320" s="49">
        <f t="shared" ca="1" si="4"/>
        <v>42027</v>
      </c>
    </row>
    <row r="321" spans="14:14" x14ac:dyDescent="0.25">
      <c r="N321" s="49">
        <f t="shared" ca="1" si="4"/>
        <v>42028</v>
      </c>
    </row>
    <row r="322" spans="14:14" x14ac:dyDescent="0.25">
      <c r="N322" s="49">
        <f t="shared" ca="1" si="4"/>
        <v>42029</v>
      </c>
    </row>
    <row r="323" spans="14:14" x14ac:dyDescent="0.25">
      <c r="N323" s="49">
        <f t="shared" ca="1" si="4"/>
        <v>42030</v>
      </c>
    </row>
    <row r="324" spans="14:14" x14ac:dyDescent="0.25">
      <c r="N324" s="49">
        <f t="shared" ca="1" si="4"/>
        <v>42031</v>
      </c>
    </row>
    <row r="325" spans="14:14" x14ac:dyDescent="0.25">
      <c r="N325" s="49">
        <f t="shared" ca="1" si="4"/>
        <v>42032</v>
      </c>
    </row>
    <row r="326" spans="14:14" x14ac:dyDescent="0.25">
      <c r="N326" s="49">
        <f t="shared" ref="N326:N367" ca="1" si="5">N325+1</f>
        <v>42033</v>
      </c>
    </row>
    <row r="327" spans="14:14" x14ac:dyDescent="0.25">
      <c r="N327" s="49">
        <f t="shared" ca="1" si="5"/>
        <v>42034</v>
      </c>
    </row>
    <row r="328" spans="14:14" x14ac:dyDescent="0.25">
      <c r="N328" s="49">
        <f t="shared" ca="1" si="5"/>
        <v>42035</v>
      </c>
    </row>
    <row r="329" spans="14:14" x14ac:dyDescent="0.25">
      <c r="N329" s="49">
        <f t="shared" ca="1" si="5"/>
        <v>42036</v>
      </c>
    </row>
    <row r="330" spans="14:14" x14ac:dyDescent="0.25">
      <c r="N330" s="49">
        <f t="shared" ca="1" si="5"/>
        <v>42037</v>
      </c>
    </row>
    <row r="331" spans="14:14" x14ac:dyDescent="0.25">
      <c r="N331" s="49">
        <f t="shared" ca="1" si="5"/>
        <v>42038</v>
      </c>
    </row>
    <row r="332" spans="14:14" x14ac:dyDescent="0.25">
      <c r="N332" s="49">
        <f t="shared" ca="1" si="5"/>
        <v>42039</v>
      </c>
    </row>
    <row r="333" spans="14:14" x14ac:dyDescent="0.25">
      <c r="N333" s="49">
        <f t="shared" ca="1" si="5"/>
        <v>42040</v>
      </c>
    </row>
    <row r="334" spans="14:14" x14ac:dyDescent="0.25">
      <c r="N334" s="49">
        <f t="shared" ca="1" si="5"/>
        <v>42041</v>
      </c>
    </row>
    <row r="335" spans="14:14" x14ac:dyDescent="0.25">
      <c r="N335" s="49">
        <f t="shared" ca="1" si="5"/>
        <v>42042</v>
      </c>
    </row>
    <row r="336" spans="14:14" x14ac:dyDescent="0.25">
      <c r="N336" s="49">
        <f t="shared" ca="1" si="5"/>
        <v>42043</v>
      </c>
    </row>
    <row r="337" spans="14:14" x14ac:dyDescent="0.25">
      <c r="N337" s="49">
        <f t="shared" ca="1" si="5"/>
        <v>42044</v>
      </c>
    </row>
    <row r="338" spans="14:14" x14ac:dyDescent="0.25">
      <c r="N338" s="49">
        <f t="shared" ca="1" si="5"/>
        <v>42045</v>
      </c>
    </row>
    <row r="339" spans="14:14" x14ac:dyDescent="0.25">
      <c r="N339" s="49">
        <f t="shared" ca="1" si="5"/>
        <v>42046</v>
      </c>
    </row>
    <row r="340" spans="14:14" x14ac:dyDescent="0.25">
      <c r="N340" s="49">
        <f t="shared" ca="1" si="5"/>
        <v>42047</v>
      </c>
    </row>
    <row r="341" spans="14:14" x14ac:dyDescent="0.25">
      <c r="N341" s="49">
        <f t="shared" ca="1" si="5"/>
        <v>42048</v>
      </c>
    </row>
    <row r="342" spans="14:14" x14ac:dyDescent="0.25">
      <c r="N342" s="49">
        <f t="shared" ca="1" si="5"/>
        <v>42049</v>
      </c>
    </row>
    <row r="343" spans="14:14" x14ac:dyDescent="0.25">
      <c r="N343" s="49">
        <f t="shared" ca="1" si="5"/>
        <v>42050</v>
      </c>
    </row>
    <row r="344" spans="14:14" x14ac:dyDescent="0.25">
      <c r="N344" s="49">
        <f t="shared" ca="1" si="5"/>
        <v>42051</v>
      </c>
    </row>
    <row r="345" spans="14:14" x14ac:dyDescent="0.25">
      <c r="N345" s="49">
        <f t="shared" ca="1" si="5"/>
        <v>42052</v>
      </c>
    </row>
    <row r="346" spans="14:14" x14ac:dyDescent="0.25">
      <c r="N346" s="49">
        <f t="shared" ca="1" si="5"/>
        <v>42053</v>
      </c>
    </row>
    <row r="347" spans="14:14" x14ac:dyDescent="0.25">
      <c r="N347" s="49">
        <f t="shared" ca="1" si="5"/>
        <v>42054</v>
      </c>
    </row>
    <row r="348" spans="14:14" x14ac:dyDescent="0.25">
      <c r="N348" s="49">
        <f t="shared" ca="1" si="5"/>
        <v>42055</v>
      </c>
    </row>
    <row r="349" spans="14:14" x14ac:dyDescent="0.25">
      <c r="N349" s="49">
        <f t="shared" ca="1" si="5"/>
        <v>42056</v>
      </c>
    </row>
    <row r="350" spans="14:14" x14ac:dyDescent="0.25">
      <c r="N350" s="49">
        <f t="shared" ca="1" si="5"/>
        <v>42057</v>
      </c>
    </row>
    <row r="351" spans="14:14" x14ac:dyDescent="0.25">
      <c r="N351" s="49">
        <f t="shared" ca="1" si="5"/>
        <v>42058</v>
      </c>
    </row>
    <row r="352" spans="14:14" x14ac:dyDescent="0.25">
      <c r="N352" s="49">
        <f t="shared" ca="1" si="5"/>
        <v>42059</v>
      </c>
    </row>
    <row r="353" spans="14:14" x14ac:dyDescent="0.25">
      <c r="N353" s="49">
        <f t="shared" ca="1" si="5"/>
        <v>42060</v>
      </c>
    </row>
    <row r="354" spans="14:14" x14ac:dyDescent="0.25">
      <c r="N354" s="49">
        <f t="shared" ca="1" si="5"/>
        <v>42061</v>
      </c>
    </row>
    <row r="355" spans="14:14" x14ac:dyDescent="0.25">
      <c r="N355" s="49">
        <f t="shared" ca="1" si="5"/>
        <v>42062</v>
      </c>
    </row>
    <row r="356" spans="14:14" x14ac:dyDescent="0.25">
      <c r="N356" s="49">
        <f t="shared" ca="1" si="5"/>
        <v>42063</v>
      </c>
    </row>
    <row r="357" spans="14:14" x14ac:dyDescent="0.25">
      <c r="N357" s="49">
        <f t="shared" ca="1" si="5"/>
        <v>42064</v>
      </c>
    </row>
    <row r="358" spans="14:14" x14ac:dyDescent="0.25">
      <c r="N358" s="49">
        <f t="shared" ca="1" si="5"/>
        <v>42065</v>
      </c>
    </row>
    <row r="359" spans="14:14" x14ac:dyDescent="0.25">
      <c r="N359" s="49">
        <f t="shared" ca="1" si="5"/>
        <v>42066</v>
      </c>
    </row>
    <row r="360" spans="14:14" x14ac:dyDescent="0.25">
      <c r="N360" s="49">
        <f t="shared" ca="1" si="5"/>
        <v>42067</v>
      </c>
    </row>
    <row r="361" spans="14:14" x14ac:dyDescent="0.25">
      <c r="N361" s="49">
        <f t="shared" ca="1" si="5"/>
        <v>42068</v>
      </c>
    </row>
    <row r="362" spans="14:14" x14ac:dyDescent="0.25">
      <c r="N362" s="49">
        <f t="shared" ca="1" si="5"/>
        <v>42069</v>
      </c>
    </row>
    <row r="363" spans="14:14" x14ac:dyDescent="0.25">
      <c r="N363" s="49">
        <f t="shared" ca="1" si="5"/>
        <v>42070</v>
      </c>
    </row>
    <row r="364" spans="14:14" x14ac:dyDescent="0.25">
      <c r="N364" s="49">
        <f t="shared" ca="1" si="5"/>
        <v>42071</v>
      </c>
    </row>
    <row r="365" spans="14:14" x14ac:dyDescent="0.25">
      <c r="N365" s="49">
        <f t="shared" ca="1" si="5"/>
        <v>42072</v>
      </c>
    </row>
    <row r="366" spans="14:14" x14ac:dyDescent="0.25">
      <c r="N366" s="49">
        <f t="shared" ca="1" si="5"/>
        <v>42073</v>
      </c>
    </row>
    <row r="367" spans="14:14" x14ac:dyDescent="0.25">
      <c r="N367" s="49">
        <f t="shared" ca="1" si="5"/>
        <v>42074</v>
      </c>
    </row>
  </sheetData>
  <sheetProtection sheet="1" objects="1" scenarios="1" selectLockedCells="1"/>
  <mergeCells count="13">
    <mergeCell ref="B31:C31"/>
    <mergeCell ref="B32:C32"/>
    <mergeCell ref="D31:F31"/>
    <mergeCell ref="B26:C26"/>
    <mergeCell ref="B27:C27"/>
    <mergeCell ref="B28:C28"/>
    <mergeCell ref="B29:C29"/>
    <mergeCell ref="B30:C30"/>
    <mergeCell ref="A1:F1"/>
    <mergeCell ref="B22:C22"/>
    <mergeCell ref="B23:C23"/>
    <mergeCell ref="B24:C24"/>
    <mergeCell ref="B25:C25"/>
  </mergeCells>
  <dataValidations count="4">
    <dataValidation type="list" allowBlank="1" showInputMessage="1" showErrorMessage="1" sqref="E12:E13">
      <formula1>$R$10:$R$58</formula1>
    </dataValidation>
    <dataValidation type="list" allowBlank="1" showInputMessage="1" showErrorMessage="1" sqref="A3">
      <formula1>$M$7:$M$9</formula1>
    </dataValidation>
    <dataValidation type="list" allowBlank="1" showInputMessage="1" showErrorMessage="1" sqref="C12:C13">
      <formula1>$N$2:$N$367</formula1>
    </dataValidation>
    <dataValidation type="list" allowBlank="1" showInputMessage="1" showErrorMessage="1" sqref="F12:F13">
      <formula1>$P$10:$P$12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porseleinhallen</vt:lpstr>
      <vt:lpstr>cerf, stekke &amp; guldenberg</vt:lpstr>
      <vt:lpstr>vergaderzalen</vt:lpstr>
      <vt:lpstr>cafetaria's</vt:lpstr>
      <vt:lpstr>d</vt:lpstr>
      <vt:lpstr>'cafetaria''s'!laat</vt:lpstr>
      <vt:lpstr>'cafetaria''s'!vroeg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2013-11-28T07:48:11Z</dcterms:created>
  <dcterms:modified xsi:type="dcterms:W3CDTF">2014-03-12T14:57:41Z</dcterms:modified>
</cp:coreProperties>
</file>